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mpa\Documents\"/>
    </mc:Choice>
  </mc:AlternateContent>
  <xr:revisionPtr revIDLastSave="0" documentId="13_ncr:1_{E4C65068-8249-459F-B55A-E88EF82F6A99}"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<sst xmlns="http://schemas.openxmlformats.org/spreadsheetml/2006/main" count="6171" uniqueCount="2766">
  <si>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</si>
  <si>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</si>
  <si>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</si>
  <si>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</si>
  <si>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</si>
  <si>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</si>
  <si>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</si>
  <si>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</si>
  <si>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</si>
  <si>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</si>
  <si>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</si>
  <si>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</si>
  <si>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</si>
  <si>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</si>
  <si>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</si>
  <si>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</si>
  <si>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</si>
  <si>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</si>
  <si>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</si>
  <si>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</si>
  <si>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</si>
  <si>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</si>
  <si>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</si>
  <si>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</si>
  <si>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</si>
  <si>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</si>
  <si>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</si>
  <si>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</si>
  <si>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</si>
  <si>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</si>
  <si>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</si>
  <si>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</si>
  <si>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</si>
  <si>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</si>
  <si>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</si>
  <si>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</si>
  <si>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</si>
  <si>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</si>
  <si>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</si>
  <si>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</si>
  <si>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</si>
  <si>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</si>
  <si>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</si>
  <si>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</si>
  <si>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</si>
  <si>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</si>
  <si>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</si>
  <si>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</si>
  <si>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</si>
  <si>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</si>
  <si>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</si>
  <si>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</si>
  <si>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</si>
  <si>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</si>
  <si>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</si>
  <si>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</si>
  <si>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</si>
  <si>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</si>
  <si>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</si>
  <si>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</si>
  <si>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</si>
  <si>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</si>
  <si>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</si>
  <si>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</si>
  <si>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</si>
  <si>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</si>
  <si>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</si>
  <si>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</si>
  <si>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</si>
  <si>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</si>
  <si>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</si>
  <si>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</si>
  <si>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</si>
  <si>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</si>
  <si>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</si>
  <si>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</si>
  <si>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</si>
  <si>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</si>
  <si>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</si>
  <si>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</si>
  <si>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</si>
  <si>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</si>
  <si>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</si>
  <si>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</si>
  <si>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</si>
  <si>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</si>
  <si>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</si>
  <si>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</si>
  <si>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</si>
  <si>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</si>
  <si>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</si>
  <si>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</si>
  <si>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</si>
  <si>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</si>
  <si>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</si>
  <si>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</si>
  <si>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</si>
  <si>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</si>
  <si>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</si>
  <si>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</si>
  <si>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</si>
  <si>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</si>
  <si>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</si>
  <si>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</si>
  <si>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</si>
  <si>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</si>
  <si>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</si>
  <si>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</si>
  <si>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</si>
  <si>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</si>
  <si>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</si>
  <si>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</si>
  <si>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</si>
  <si>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</si>
  <si>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</si>
  <si>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</si>
  <si>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</si>
  <si>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</si>
  <si>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</si>
  <si>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</si>
  <si>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</si>
  <si>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</si>
  <si>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</si>
  <si>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</si>
  <si>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</si>
  <si>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</si>
  <si>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</si>
  <si>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</si>
  <si>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</si>
  <si>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</si>
  <si>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</si>
  <si>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</si>
  <si>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</si>
  <si>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</si>
  <si>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</si>
  <si>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</si>
  <si>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</si>
  <si>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</si>
  <si>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</si>
  <si>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</si>
  <si>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</si>
  <si>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</si>
  <si>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</si>
  <si>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</si>
  <si>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</si>
  <si>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</si>
  <si>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</si>
  <si>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</si>
  <si>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</si>
  <si>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</si>
  <si>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</si>
  <si>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</si>
  <si>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</si>
  <si>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</si>
  <si>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</si>
  <si>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</si>
  <si>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</si>
  <si>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</si>
  <si>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</si>
  <si>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</si>
  <si>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</si>
  <si>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</si>
  <si>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</si>
  <si>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</si>
  <si>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</si>
  <si>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</si>
  <si>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</si>
  <si>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</si>
  <si>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</si>
  <si>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</si>
  <si>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</si>
  <si>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</si>
  <si>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</si>
  <si>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</si>
  <si>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</si>
  <si>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</si>
  <si>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</si>
  <si>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</si>
  <si>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</si>
  <si>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</si>
  <si>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</si>
  <si>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</si>
  <si>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</si>
  <si>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</si>
  <si>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</si>
  <si>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</si>
  <si>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</si>
  <si>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</si>
  <si>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</si>
  <si>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</si>
  <si>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</si>
  <si>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</si>
  <si>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</si>
  <si>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</si>
  <si>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</si>
  <si>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</si>
  <si>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</si>
  <si>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</si>
  <si>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</si>
  <si>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</si>
  <si>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</si>
  <si>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</si>
  <si>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</si>
  <si>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</si>
  <si>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</si>
  <si>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</si>
  <si>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</si>
  <si>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</si>
  <si>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</si>
  <si>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</si>
  <si>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</si>
  <si>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</si>
  <si>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</si>
  <si>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</si>
  <si>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</si>
  <si>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</si>
  <si>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</si>
  <si>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</si>
  <si>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</si>
  <si>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</si>
  <si>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</si>
  <si>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</si>
  <si>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</si>
  <si>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</si>
  <si>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</si>
  <si>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</si>
  <si>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</si>
  <si>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</si>
  <si>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</si>
  <si>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</si>
  <si>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</si>
  <si>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</si>
  <si>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</si>
  <si>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</si>
  <si>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</si>
  <si>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</si>
  <si>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</si>
  <si>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</si>
  <si>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</si>
  <si>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</si>
  <si>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</si>
  <si>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</si>
  <si>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</si>
  <si>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</si>
  <si>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</si>
  <si>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</si>
  <si>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</si>
  <si>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</si>
  <si>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</si>
  <si>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</si>
  <si>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</si>
  <si>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</si>
  <si>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</si>
  <si>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</si>
  <si>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</si>
  <si>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</si>
  <si>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</si>
  <si>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</si>
  <si>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</si>
  <si>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</si>
  <si>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</si>
  <si>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</si>
  <si>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</si>
  <si>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</si>
  <si>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</si>
  <si>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</si>
  <si>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</si>
  <si>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</si>
  <si>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</si>
  <si>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</si>
  <si>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</si>
  <si>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</si>
  <si>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</si>
  <si>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</si>
  <si>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</si>
  <si>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</si>
  <si>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</si>
  <si>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</si>
  <si>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</si>
  <si>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</si>
  <si>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</si>
  <si>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</si>
  <si>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</si>
  <si>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</si>
  <si>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</si>
  <si>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</si>
  <si>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</si>
  <si>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</si>
  <si>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</si>
  <si>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</si>
  <si>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</si>
  <si>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</si>
  <si>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</si>
  <si>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</si>
  <si>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</si>
  <si>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</si>
  <si>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</si>
  <si>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</si>
  <si>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</si>
  <si>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</si>
  <si>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</si>
  <si>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</si>
  <si>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</si>
  <si>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</si>
  <si>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</si>
  <si>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</si>
  <si>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</si>
  <si>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</si>
  <si>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</si>
  <si>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</si>
  <si>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</si>
  <si>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</si>
  <si>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</si>
  <si>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</si>
  <si>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</si>
  <si>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</si>
  <si>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</si>
  <si>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</si>
  <si>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</si>
  <si>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</si>
  <si>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</si>
  <si>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</si>
  <si>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</si>
  <si>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</si>
  <si>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</si>
  <si>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</si>
  <si>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</si>
  <si>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</si>
  <si>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</si>
  <si>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</si>
  <si>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</si>
  <si>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</si>
  <si>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</si>
  <si>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</si>
  <si>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</si>
  <si>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</si>
  <si>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</si>
  <si>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</si>
  <si>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</si>
  <si>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</si>
  <si>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</si>
  <si>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</si>
  <si>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</si>
  <si>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</si>
  <si>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</si>
  <si>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</si>
  <si>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</si>
  <si>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</si>
  <si>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</si>
  <si>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</si>
  <si>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</si>
  <si>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</si>
  <si>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</si>
  <si>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</si>
  <si>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</si>
  <si>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</si>
  <si>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</si>
  <si>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</si>
  <si>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</si>
  <si>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</si>
  <si>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</si>
  <si>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</si>
  <si>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</si>
  <si>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</si>
  <si>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</si>
  <si>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</si>
  <si>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</si>
  <si>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</si>
  <si>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</si>
  <si>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</si>
  <si>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</si>
  <si>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</si>
  <si>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</si>
  <si>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</si>
  <si>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</si>
  <si>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</si>
  <si>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</si>
  <si>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</si>
  <si>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</si>
  <si>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</si>
  <si>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</si>
  <si>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</si>
  <si>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</si>
  <si>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</si>
  <si>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</si>
  <si>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</si>
  <si>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</si>
  <si>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</si>
  <si>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</si>
  <si>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</si>
  <si>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</si>
  <si>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</si>
  <si>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</si>
  <si>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</si>
  <si>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</si>
  <si>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</si>
  <si>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</si>
  <si>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</si>
  <si>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</si>
  <si>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</si>
  <si>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</si>
  <si>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</si>
  <si>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</si>
  <si>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</si>
  <si>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</si>
  <si>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</si>
  <si>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</si>
  <si>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</si>
  <si>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</si>
  <si>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</si>
  <si>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</si>
  <si>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</si>
  <si>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</si>
  <si>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</si>
  <si>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</si>
  <si>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</si>
  <si>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</si>
  <si>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</si>
  <si>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</si>
  <si>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</si>
  <si>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</si>
  <si>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</si>
  <si>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</si>
  <si>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</si>
  <si>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</si>
  <si>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</si>
  <si>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</si>
  <si>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</si>
  <si>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</si>
  <si>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</si>
  <si>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</si>
  <si>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</si>
  <si>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</si>
  <si>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</si>
  <si>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</si>
  <si>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</si>
  <si>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</si>
  <si>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</si>
  <si>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</si>
  <si>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</si>
  <si>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</si>
  <si>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</si>
  <si>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</si>
  <si>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</si>
  <si>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</si>
  <si>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</si>
  <si>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</si>
  <si>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</si>
  <si>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</si>
  <si>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</si>
  <si>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</si>
  <si>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</si>
  <si>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</si>
  <si>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</si>
  <si>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</si>
  <si>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</si>
  <si>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</si>
  <si>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</si>
  <si>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</si>
  <si>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</si>
  <si>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</si>
  <si>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</si>
  <si>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</si>
  <si>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</si>
  <si>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</si>
  <si>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</si>
  <si>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</si>
  <si>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</si>
  <si>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</si>
  <si>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</si>
  <si>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</si>
  <si>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</si>
  <si>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</si>
  <si>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</si>
  <si>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</si>
  <si>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</si>
  <si>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</si>
  <si>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</si>
  <si>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</si>
  <si>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</si>
  <si>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</si>
  <si>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</si>
  <si>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</si>
  <si>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</si>
  <si>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</si>
  <si>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</si>
  <si>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</si>
  <si>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</si>
  <si>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</si>
  <si>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</si>
  <si>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</si>
  <si>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</si>
  <si>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</si>
  <si>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</si>
  <si>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</si>
  <si>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</si>
  <si>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</si>
  <si>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</si>
  <si>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</si>
  <si>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</si>
  <si>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</si>
  <si>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</si>
  <si>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</si>
  <si>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</si>
  <si>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</si>
  <si>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</si>
  <si>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</si>
  <si>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</si>
  <si>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</si>
  <si>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</si>
  <si>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</si>
  <si>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</si>
  <si>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</si>
  <si>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</si>
  <si>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</si>
  <si>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</si>
  <si>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</si>
  <si>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</si>
  <si>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</si>
  <si>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</si>
  <si>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</si>
  <si>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</si>
  <si>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</si>
  <si>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</si>
  <si>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</si>
  <si>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</si>
  <si>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</si>
  <si>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</si>
  <si>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</si>
  <si>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</si>
  <si>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</si>
  <si>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</si>
  <si>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</si>
  <si>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</si>
  <si>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</si>
  <si>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</si>
  <si>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</si>
  <si>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</si>
  <si>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</si>
  <si>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</si>
  <si>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</si>
  <si>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</si>
  <si>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</si>
  <si>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</si>
  <si>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</si>
  <si>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</si>
  <si>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</si>
  <si>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</si>
  <si>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</si>
  <si>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</si>
  <si>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</si>
  <si>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</si>
  <si>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</si>
  <si>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</si>
  <si>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</si>
  <si>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</si>
  <si>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</si>
  <si>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</si>
  <si>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</si>
  <si>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</si>
  <si>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</si>
  <si>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</si>
  <si>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</si>
  <si>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</si>
  <si>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</si>
  <si>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</si>
  <si>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</si>
  <si>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</si>
  <si>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</si>
  <si>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</si>
  <si>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</si>
  <si>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</si>
  <si>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</si>
  <si>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</si>
  <si>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</si>
  <si>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</si>
  <si>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</si>
  <si>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</si>
  <si>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</si>
  <si>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</si>
  <si>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</si>
  <si>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</si>
  <si>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</si>
  <si>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</si>
  <si>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</si>
  <si>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</si>
  <si>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</si>
  <si>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</si>
  <si>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</si>
  <si>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</si>
  <si>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</si>
  <si>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</si>
  <si>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</si>
  <si>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</si>
  <si>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</si>
  <si>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</si>
  <si>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</si>
  <si>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</si>
  <si>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</si>
  <si>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</si>
  <si>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</si>
  <si>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</si>
  <si>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</si>
  <si>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</si>
  <si>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</si>
  <si>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</si>
  <si>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</si>
  <si>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</si>
  <si>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</si>
  <si>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</si>
  <si>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</si>
  <si>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</si>
  <si>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</si>
  <si>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</si>
  <si>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</si>
  <si>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</si>
  <si>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</si>
  <si>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</si>
  <si>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</si>
  <si>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</si>
  <si>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</si>
  <si>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</si>
  <si>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</si>
  <si>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</si>
  <si>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</si>
  <si>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</si>
  <si>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</si>
  <si>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</si>
  <si>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</si>
  <si>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</si>
  <si>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</si>
  <si>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</si>
  <si>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</si>
  <si>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</si>
  <si>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</si>
  <si>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</si>
  <si>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</si>
  <si>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</si>
  <si>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</si>
  <si>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</si>
  <si>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</si>
  <si>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</si>
  <si>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</si>
  <si>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</si>
  <si>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</si>
  <si>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</si>
  <si>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</si>
  <si>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</si>
  <si>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</si>
  <si>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</si>
  <si>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</si>
  <si>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</si>
  <si>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</si>
  <si>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</si>
  <si>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</si>
  <si>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</si>
  <si>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</si>
  <si>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</si>
  <si>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</si>
  <si>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</si>
  <si>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</si>
  <si>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</si>
  <si>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</si>
  <si>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</si>
  <si>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</si>
  <si>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</si>
  <si>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</si>
  <si>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</si>
  <si>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</si>
  <si>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</si>
  <si>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</si>
  <si>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</si>
  <si>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</si>
  <si>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</si>
  <si>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</si>
  <si>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</si>
  <si>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</si>
  <si>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</si>
  <si>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</si>
  <si>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</si>
  <si>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</si>
  <si>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</si>
  <si>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</si>
  <si>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</si>
  <si>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</si>
  <si>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</si>
  <si>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</si>
  <si>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</si>
  <si>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</si>
  <si>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</si>
  <si>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</si>
  <si>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</si>
  <si>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</si>
  <si>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</si>
  <si>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</si>
  <si>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</si>
  <si>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</si>
  <si>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</si>
  <si>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</si>
  <si>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</si>
  <si>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</si>
  <si>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</si>
  <si>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</si>
  <si>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</si>
  <si>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</si>
  <si>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</si>
  <si>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</si>
  <si>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</si>
  <si>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</si>
  <si>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</si>
  <si>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</si>
  <si>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</si>
  <si>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</si>
  <si>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</si>
  <si>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</si>
  <si>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</si>
  <si>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</si>
  <si>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</si>
  <si>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</si>
  <si>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</si>
  <si>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</si>
  <si>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</si>
  <si>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</si>
  <si>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</si>
  <si>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</si>
  <si>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</si>
  <si>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</si>
  <si>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</si>
  <si>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</si>
  <si>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</si>
  <si>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</si>
  <si>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</si>
  <si>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</si>
  <si>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</si>
  <si>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</si>
  <si>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</si>
  <si>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</si>
  <si>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</si>
  <si>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</si>
  <si>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</si>
  <si>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</si>
  <si>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</si>
  <si>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</si>
  <si>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</si>
  <si>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</si>
  <si>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</si>
  <si>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</si>
  <si>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</si>
  <si>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</si>
  <si>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</si>
  <si>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</si>
  <si>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</si>
  <si>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</si>
  <si>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</si>
  <si>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</si>
  <si>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</si>
  <si>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</si>
  <si>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</si>
  <si>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</si>
  <si>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</si>
  <si>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</si>
  <si>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</si>
  <si>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</si>
  <si>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</si>
  <si>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</si>
  <si>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</si>
  <si>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</si>
  <si>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</si>
  <si>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</si>
  <si>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</si>
  <si>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</si>
  <si>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</si>
  <si>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</si>
  <si>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</si>
  <si>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</si>
  <si>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</si>
  <si>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</si>
  <si>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</si>
  <si>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</si>
  <si>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</si>
  <si>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</si>
  <si>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</si>
  <si>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</si>
  <si>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</si>
  <si>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</si>
  <si>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</si>
  <si>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</si>
  <si>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</si>
  <si>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</si>
  <si>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</si>
  <si>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</si>
  <si>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</si>
  <si>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</si>
  <si>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</si>
  <si>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</si>
  <si>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</si>
  <si>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</si>
  <si>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</si>
  <si>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</si>
  <si>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</si>
  <si>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</si>
  <si>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</si>
  <si>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</si>
  <si>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</si>
  <si>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</si>
  <si>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</si>
  <si>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</si>
  <si>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</si>
  <si>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</si>
  <si>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</si>
  <si>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</si>
  <si>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</si>
  <si>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</si>
  <si>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</si>
  <si>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</si>
  <si>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</si>
  <si>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</si>
  <si>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</si>
  <si>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</si>
  <si>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</si>
  <si>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</si>
  <si>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</si>
  <si>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</si>
  <si>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</si>
  <si>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</si>
  <si>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</si>
  <si>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</si>
  <si>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</si>
  <si>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</si>
  <si>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</si>
  <si>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</si>
  <si>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</si>
  <si>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</si>
  <si>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</si>
  <si>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</si>
  <si>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</si>
  <si>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</si>
  <si>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</si>
  <si>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</si>
  <si>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</si>
  <si>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</si>
  <si>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</si>
  <si>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</si>
  <si>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</si>
  <si>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</si>
  <si>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</si>
  <si>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</si>
  <si>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</si>
  <si>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</si>
  <si>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</si>
  <si>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</si>
  <si>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</si>
  <si>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</si>
  <si>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</si>
  <si>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</si>
  <si>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</si>
  <si>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</si>
  <si>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</si>
  <si>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</si>
  <si>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</si>
  <si>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</si>
  <si>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</si>
  <si>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</si>
  <si>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</si>
  <si>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</si>
  <si>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</si>
  <si>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</si>
  <si>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</si>
  <si>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</si>
  <si>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</si>
  <si>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</si>
  <si>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</si>
  <si>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</si>
  <si>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</si>
  <si>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</si>
  <si>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</si>
  <si>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</si>
  <si>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</si>
  <si>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</si>
  <si>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</si>
  <si>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</si>
  <si>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</si>
  <si>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</si>
  <si>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</si>
  <si>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</si>
  <si>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</si>
  <si>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</si>
  <si>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</si>
  <si>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</si>
  <si>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</si>
  <si>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</si>
  <si>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</si>
  <si>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</si>
  <si>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</si>
  <si>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</si>
  <si>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</si>
  <si>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</si>
  <si>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</si>
  <si>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</si>
  <si>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</si>
  <si>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</si>
  <si>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</si>
  <si>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</si>
  <si>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</si>
  <si>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</si>
  <si>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</si>
  <si>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</si>
  <si>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</si>
  <si>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</si>
  <si>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</si>
  <si>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</si>
  <si>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</si>
  <si>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</si>
  <si>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</si>
  <si>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</si>
  <si>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</si>
  <si>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</si>
  <si>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</si>
  <si>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</si>
  <si>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</si>
  <si>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</si>
  <si>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</si>
  <si>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</si>
  <si>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</si>
  <si>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</si>
  <si>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</si>
  <si>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</si>
  <si>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</si>
  <si>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</si>
  <si>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</si>
  <si>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</si>
  <si>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</si>
  <si>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</si>
  <si>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</si>
  <si>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</si>
  <si>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</si>
  <si>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</si>
  <si>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</si>
  <si>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</si>
  <si>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</si>
  <si>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</si>
  <si>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</si>
  <si>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</si>
  <si>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</si>
  <si>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</si>
  <si>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</si>
  <si>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</si>
  <si>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</si>
  <si>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</si>
  <si>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</si>
  <si>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</si>
  <si>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</si>
  <si>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</si>
  <si>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</si>
  <si>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</si>
  <si>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</si>
  <si>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</si>
  <si>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</si>
  <si>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</si>
  <si>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</si>
  <si>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</si>
  <si>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</si>
  <si>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</si>
  <si>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</si>
  <si>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</si>
  <si>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</si>
  <si>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</si>
  <si>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</si>
  <si>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</si>
  <si>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</si>
  <si>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</si>
  <si>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</si>
  <si>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</si>
  <si>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</si>
  <si>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</si>
  <si>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</si>
  <si>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</si>
  <si>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</si>
  <si>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</si>
  <si>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</si>
  <si>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</si>
  <si>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</si>
  <si>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</si>
  <si>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</si>
  <si>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</si>
  <si>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</si>
  <si>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</si>
  <si>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</si>
  <si>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</si>
  <si>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</si>
  <si>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</si>
  <si>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</si>
  <si>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</si>
  <si>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</si>
  <si>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</si>
  <si>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</si>
  <si>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</si>
  <si>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</si>
  <si>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</si>
  <si>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</si>
  <si>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</si>
  <si>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</si>
  <si>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</si>
  <si>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</si>
  <si>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</si>
  <si>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</si>
  <si>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</si>
  <si>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</si>
  <si>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</si>
  <si>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</si>
  <si>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</si>
  <si>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</si>
  <si>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</si>
  <si>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</si>
  <si>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</si>
  <si>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</si>
  <si>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</si>
  <si>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</si>
  <si>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</si>
  <si>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</si>
  <si>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</si>
  <si>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</si>
  <si>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</si>
  <si>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</si>
  <si>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</si>
  <si>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</si>
  <si>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</si>
  <si>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</si>
  <si>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</si>
  <si>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</si>
  <si>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</si>
  <si>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</si>
  <si>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</si>
  <si>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</si>
  <si>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</si>
  <si>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</si>
  <si>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</si>
  <si>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</si>
  <si>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</si>
  <si>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</si>
  <si>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</si>
  <si>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</si>
  <si>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</si>
  <si>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</si>
  <si>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</si>
  <si>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</si>
  <si>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</si>
  <si>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</si>
  <si>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</si>
  <si>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</si>
  <si>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</si>
  <si>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</si>
  <si>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</si>
  <si>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</si>
  <si>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</si>
  <si>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</si>
  <si>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</si>
  <si>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</si>
  <si>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</si>
  <si>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</si>
  <si>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</si>
  <si>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</si>
  <si>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</si>
  <si>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</si>
  <si>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</si>
  <si>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</si>
  <si>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</si>
  <si>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</si>
  <si>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</si>
  <si>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</si>
  <si>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</si>
  <si>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</si>
  <si>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</si>
  <si>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</si>
  <si>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</si>
  <si>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</si>
  <si>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</si>
  <si>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</si>
  <si>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</si>
  <si>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</si>
  <si>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</si>
  <si>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</si>
  <si>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</si>
  <si>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</si>
  <si>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</si>
  <si>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</si>
  <si>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</si>
  <si>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</si>
  <si>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</si>
  <si>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</si>
  <si>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</si>
  <si>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</si>
  <si>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</si>
  <si>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</si>
  <si>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</si>
  <si>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</si>
  <si>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</si>
  <si>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</si>
  <si>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</si>
  <si>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</si>
  <si>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</si>
  <si>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</si>
  <si>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</si>
  <si>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</si>
  <si>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</si>
  <si>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</si>
  <si>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</si>
  <si>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</si>
  <si>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</si>
  <si>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</si>
  <si>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</si>
  <si>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</si>
  <si>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</si>
  <si>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</si>
  <si>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</si>
  <si>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</si>
  <si>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</si>
  <si>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</si>
  <si>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</si>
  <si>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</si>
  <si>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</si>
  <si>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</si>
  <si>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</si>
  <si>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</si>
  <si>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</si>
  <si>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</si>
  <si>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</si>
  <si>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</si>
  <si>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</si>
  <si>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</si>
  <si>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</si>
  <si>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</si>
  <si>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</si>
  <si>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</si>
  <si>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</si>
  <si>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</si>
  <si>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</si>
  <si>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</si>
  <si>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</si>
  <si>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</si>
  <si>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</si>
  <si>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</si>
  <si>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</si>
  <si>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</si>
  <si>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</si>
  <si>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</si>
  <si>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</si>
  <si>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</si>
  <si>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</si>
  <si>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</si>
  <si>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</si>
  <si>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</si>
  <si>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</si>
  <si>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</si>
  <si>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</si>
  <si>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</si>
  <si>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</si>
  <si>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</si>
  <si>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</si>
  <si>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</si>
  <si>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</si>
  <si>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</si>
  <si>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</si>
  <si>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</si>
  <si>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</si>
  <si>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</si>
  <si>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</si>
  <si>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</si>
  <si>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</si>
  <si>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</si>
  <si>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</si>
  <si>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</si>
  <si>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</si>
  <si>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</si>
  <si>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</si>
  <si>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</si>
  <si>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</si>
  <si>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</si>
  <si>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</si>
  <si>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</si>
  <si>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</si>
  <si>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</si>
  <si>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</si>
  <si>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</si>
  <si>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</si>
  <si>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</si>
  <si>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</si>
  <si>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</si>
  <si>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</si>
  <si>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</si>
  <si>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</si>
  <si>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</si>
  <si>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</si>
  <si>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</si>
  <si>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</si>
  <si>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</si>
  <si>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</si>
  <si>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</si>
  <si>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</si>
  <si>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</si>
  <si>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</si>
  <si>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</si>
  <si>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</si>
  <si>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</si>
  <si>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</si>
  <si>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</si>
  <si>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</si>
  <si>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</si>
  <si>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</si>
  <si>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</si>
  <si>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</si>
  <si>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</si>
  <si>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</si>
  <si>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</si>
  <si>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</si>
  <si>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</si>
  <si>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</si>
  <si>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</si>
  <si>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</si>
  <si>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</si>
  <si>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</si>
  <si>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</si>
  <si>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</si>
  <si>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</si>
  <si>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</si>
  <si>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</si>
  <si>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</si>
  <si>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</si>
  <si>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</si>
  <si>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</si>
  <si>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</si>
  <si>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</si>
  <si>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</si>
  <si>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</si>
  <si>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</si>
  <si>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</si>
  <si>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</si>
  <si>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</si>
  <si>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</si>
  <si>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</si>
  <si>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</si>
  <si>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</si>
  <si>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</si>
  <si>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</si>
  <si>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</si>
  <si>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</si>
  <si>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</si>
  <si>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</si>
  <si>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</si>
  <si>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</si>
  <si>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</si>
  <si>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</si>
  <si>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</si>
  <si>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</si>
  <si>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</si>
  <si>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</si>
  <si>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</si>
  <si>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</si>
  <si>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</si>
  <si>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</si>
  <si>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</si>
  <si>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</si>
  <si>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</si>
  <si>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</si>
  <si>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</si>
  <si>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</si>
  <si>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</si>
  <si>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</si>
  <si>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</si>
  <si>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</si>
  <si>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</si>
  <si>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</si>
  <si>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</si>
  <si>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</si>
  <si>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</si>
  <si>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</si>
  <si>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</si>
  <si>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</si>
  <si>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</si>
  <si>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</si>
  <si>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</si>
  <si>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</si>
  <si>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</si>
  <si>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</si>
  <si>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</si>
  <si>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</si>
  <si>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</si>
  <si>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</si>
  <si>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</si>
  <si>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</si>
  <si>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</si>
  <si>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</si>
  <si>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</si>
  <si>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</si>
  <si>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</si>
  <si>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</si>
  <si>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</si>
  <si>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</si>
  <si>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</si>
  <si>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</si>
  <si>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</si>
  <si>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</si>
  <si>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</si>
  <si>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</si>
  <si>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</si>
  <si>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</si>
  <si>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</si>
  <si>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</si>
  <si>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</si>
  <si>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</si>
  <si>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</si>
  <si>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</si>
  <si>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</si>
  <si>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</si>
  <si>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</si>
  <si>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</si>
  <si>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</si>
  <si>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</si>
  <si>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</si>
  <si>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</si>
  <si>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</si>
  <si>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</si>
  <si>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</si>
  <si>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</si>
  <si>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</si>
  <si>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</si>
  <si>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</si>
  <si>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</si>
  <si>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</si>
  <si>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</si>
  <si>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</si>
  <si>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</si>
  <si>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</si>
  <si>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</si>
  <si>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</si>
  <si>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</si>
  <si>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</si>
  <si>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</si>
  <si>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</si>
  <si>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</si>
  <si>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</si>
  <si>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</si>
  <si>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</si>
  <si>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</si>
  <si>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</si>
  <si>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</si>
  <si>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</si>
  <si>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</si>
  <si>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</si>
  <si>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</si>
  <si>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</si>
  <si>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</si>
  <si>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</si>
  <si>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</si>
  <si>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</si>
  <si>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</si>
  <si>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</si>
  <si>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</si>
  <si>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</si>
  <si>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</si>
  <si>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</si>
  <si>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</si>
  <si>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</si>
  <si>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</si>
  <si>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</si>
  <si>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</si>
  <si>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</si>
  <si>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</si>
  <si>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</si>
  <si>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</si>
  <si>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</si>
  <si>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</si>
  <si>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</si>
  <si>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</si>
  <si>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</si>
  <si>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</si>
  <si>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</si>
  <si>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</si>
  <si>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</si>
  <si>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</si>
  <si>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</si>
  <si>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</si>
  <si>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</si>
  <si>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</si>
  <si>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</si>
  <si>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</si>
  <si>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</si>
  <si>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</si>
  <si>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</si>
  <si>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</si>
  <si>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</si>
  <si>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</si>
  <si>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</si>
  <si>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</si>
  <si>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</si>
  <si>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</si>
  <si>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</si>
  <si>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</si>
  <si>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</si>
  <si>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</si>
  <si>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</si>
  <si>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</si>
  <si>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</si>
  <si>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</si>
  <si>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</si>
  <si>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</si>
  <si>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</si>
  <si>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</si>
  <si>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</si>
  <si>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</si>
  <si>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</si>
  <si>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</si>
  <si>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</si>
  <si>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</si>
  <si>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</si>
  <si>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</si>
  <si>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</si>
  <si>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</si>
  <si>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</si>
  <si>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</si>
  <si>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</si>
  <si>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</si>
  <si>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</si>
  <si>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</si>
  <si>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</si>
  <si>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</si>
  <si>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</si>
  <si>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</si>
  <si>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</si>
  <si>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</si>
  <si>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</si>
  <si>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</si>
  <si>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</si>
  <si>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</si>
  <si>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</si>
  <si>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</si>
  <si>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</si>
  <si>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</si>
  <si>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</si>
  <si>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</si>
  <si>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</si>
  <si>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</si>
  <si>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</si>
  <si>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</si>
  <si>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</si>
  <si>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</si>
  <si>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</si>
  <si>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</si>
  <si>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</si>
  <si>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</si>
  <si>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</si>
  <si>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</si>
  <si>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</si>
  <si>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</si>
  <si>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</si>
  <si>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</si>
  <si>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</si>
  <si>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</si>
  <si>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</si>
  <si>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</si>
  <si>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</si>
  <si>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</si>
  <si>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</si>
  <si>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</si>
  <si>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</si>
  <si>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</si>
  <si>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</si>
  <si>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</si>
  <si>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</si>
  <si>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</si>
  <si>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</si>
  <si>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</si>
  <si>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</si>
  <si>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</si>
  <si>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</si>
  <si>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</si>
  <si>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</si>
  <si>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</si>
  <si>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</si>
  <si>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</si>
  <si>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</si>
  <si>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</si>
  <si>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</si>
  <si>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</si>
  <si>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</si>
  <si>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</si>
  <si>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</si>
  <si>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</si>
  <si>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</si>
  <si>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</si>
  <si>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</si>
  <si>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</si>
  <si>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</si>
  <si>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</si>
  <si>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</si>
  <si>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</si>
  <si>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</si>
  <si>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</si>
  <si>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</si>
  <si>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</si>
  <si>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</si>
  <si>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</si>
  <si>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</si>
  <si>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</si>
  <si>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</si>
  <si>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</si>
  <si>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</si>
  <si>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</si>
  <si>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</si>
  <si>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</si>
  <si>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</si>
  <si>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</si>
  <si>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</si>
  <si>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</si>
  <si>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</si>
  <si>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</si>
  <si>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</si>
  <si>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</si>
  <si>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</si>
  <si>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</si>
  <si>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</si>
  <si>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</si>
  <si>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</si>
  <si>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</si>
  <si>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</si>
  <si>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</si>
  <si>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</si>
  <si>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</si>
  <si>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</si>
  <si>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</si>
  <si>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</si>
  <si>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</si>
  <si>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</si>
  <si>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</si>
  <si>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</si>
  <si>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</si>
  <si>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</si>
  <si>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</si>
  <si>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</si>
  <si>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</si>
  <si>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</si>
  <si>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</si>
  <si>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</si>
  <si>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</si>
  <si>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</si>
  <si>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</si>
  <si>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</si>
  <si>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</si>
  <si>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</si>
  <si>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</si>
  <si>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</si>
  <si>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</si>
  <si>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</si>
  <si>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</si>
  <si>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</si>
  <si>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</si>
  <si>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</si>
  <si>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</si>
  <si>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</si>
  <si>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</si>
  <si>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</si>
  <si>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</si>
  <si>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</si>
  <si>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</si>
  <si>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</si>
  <si>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</si>
  <si>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</si>
  <si>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</si>
  <si>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</si>
  <si>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</si>
  <si>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</si>
  <si>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</si>
  <si>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</si>
  <si>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</si>
  <si>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</si>
  <si>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</si>
  <si>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</si>
  <si>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</si>
  <si>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</si>
  <si>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</si>
  <si>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</si>
  <si>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</si>
  <si>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</si>
  <si>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</si>
  <si>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</si>
  <si>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</si>
  <si>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</si>
  <si>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</si>
  <si>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</si>
  <si>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</si>
  <si>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</si>
  <si>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</si>
  <si>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</si>
  <si>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</si>
  <si>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</si>
  <si>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</si>
  <si>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</si>
  <si>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</si>
  <si>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</si>
  <si>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</si>
  <si>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</si>
  <si>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</si>
  <si>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</si>
  <si>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</si>
  <si>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</si>
  <si>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</si>
  <si>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</si>
  <si>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</si>
  <si>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</si>
  <si>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</si>
  <si>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</si>
  <si>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</si>
  <si>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</si>
  <si>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</si>
  <si>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</si>
  <si>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</si>
  <si>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</si>
  <si>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</si>
  <si>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</si>
  <si>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</si>
  <si>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</si>
  <si>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</si>
  <si>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</si>
  <si>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</si>
  <si>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</si>
  <si>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</si>
  <si>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</si>
  <si>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</si>
  <si>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</si>
  <si>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</si>
  <si>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</si>
  <si>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</si>
  <si>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</si>
  <si>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</si>
  <si>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</si>
  <si>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</si>
  <si>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</si>
  <si>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</si>
  <si>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</si>
  <si>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</si>
  <si>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</si>
  <si>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</si>
  <si>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</si>
  <si>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</si>
  <si>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</si>
  <si>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</si>
  <si>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</si>
  <si>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</si>
  <si>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</si>
  <si>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</si>
  <si>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</si>
  <si>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</si>
  <si>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</si>
  <si>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</si>
  <si>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</si>
  <si>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</si>
  <si>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</si>
  <si>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</si>
  <si>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</si>
  <si>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</si>
  <si>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</si>
  <si>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</si>
  <si>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</si>
  <si>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</si>
  <si>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</si>
  <si>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</si>
  <si>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</si>
  <si>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</si>
  <si>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</si>
  <si>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</si>
  <si>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</si>
  <si>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</si>
  <si>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</si>
  <si>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</si>
  <si>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</si>
  <si>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</si>
  <si>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</si>
  <si>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</si>
  <si>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</si>
  <si>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</si>
  <si>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</si>
  <si>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</si>
  <si>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</si>
  <si>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</si>
  <si>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</si>
  <si>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</si>
  <si>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</si>
  <si>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</si>
  <si>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</si>
  <si>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</si>
  <si>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</si>
  <si>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</si>
  <si>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</si>
  <si>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</si>
  <si>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</si>
  <si>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</si>
  <si>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</si>
  <si>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</si>
  <si>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</si>
  <si>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</si>
  <si>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</si>
  <si>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</si>
  <si>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</si>
  <si>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</si>
  <si>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</si>
  <si>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</si>
  <si>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</si>
  <si>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</si>
  <si>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</si>
  <si>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</si>
  <si>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</si>
  <si>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</si>
  <si>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</si>
  <si>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</si>
  <si>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</si>
  <si>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</si>
  <si>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</si>
  <si>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</si>
  <si>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</si>
  <si>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</si>
  <si>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</si>
  <si>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</si>
  <si>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</si>
  <si>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</si>
  <si>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</si>
  <si>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</si>
  <si>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</si>
  <si>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</si>
  <si>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</si>
  <si>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</si>
  <si>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</si>
  <si>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</si>
  <si>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</si>
  <si>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</si>
  <si>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</si>
  <si>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</si>
  <si>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</si>
  <si>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</si>
  <si>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</si>
  <si>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</si>
  <si>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</si>
  <si>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</si>
  <si>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</si>
  <si>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</si>
  <si>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</si>
  <si>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</si>
  <si>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</si>
  <si>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</si>
  <si>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</si>
  <si>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</si>
  <si>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</si>
  <si>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</si>
  <si>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</si>
  <si>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</si>
  <si>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</si>
  <si>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</si>
  <si>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</si>
  <si>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</si>
  <si>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</si>
  <si>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</si>
  <si>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</si>
  <si>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</si>
  <si>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</si>
  <si>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</si>
  <si>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</si>
  <si>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</si>
  <si>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</si>
  <si>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</si>
  <si>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</si>
  <si>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</si>
  <si>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</si>
  <si>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</si>
  <si>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</si>
  <si>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</si>
  <si>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</si>
  <si>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</si>
  <si>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</si>
  <si>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</si>
  <si>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</si>
  <si>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</si>
  <si>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</si>
  <si>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</si>
  <si>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</si>
  <si>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</si>
  <si>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</si>
  <si>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</si>
  <si>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</si>
  <si>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</si>
  <si>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</si>
  <si>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</si>
  <si>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</si>
  <si>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</si>
  <si>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</si>
  <si>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</si>
  <si>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</si>
  <si>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</si>
  <si>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</si>
  <si>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</si>
  <si>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</si>
  <si>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</si>
  <si>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</si>
  <si>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</si>
  <si>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</si>
  <si>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</si>
  <si>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</si>
  <si>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</si>
  <si>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</si>
  <si>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</si>
  <si>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</si>
  <si>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</si>
  <si>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</si>
  <si>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</si>
  <si>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</si>
  <si>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</si>
  <si>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</si>
  <si>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</si>
  <si>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</si>
  <si>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</si>
  <si>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</si>
  <si>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</si>
  <si>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</si>
  <si>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</si>
  <si>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</si>
  <si>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</si>
  <si>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</si>
  <si>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</si>
  <si>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</si>
  <si>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</si>
  <si>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</si>
  <si>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</si>
  <si>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</si>
  <si>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</si>
  <si>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</si>
  <si>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</si>
  <si>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</si>
  <si>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</si>
  <si>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</si>
  <si>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</si>
  <si>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</si>
  <si>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</si>
  <si>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</si>
  <si>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</si>
  <si>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</si>
  <si>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</si>
  <si>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</si>
  <si>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</si>
  <si>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</si>
  <si>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</si>
  <si>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</si>
  <si>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</si>
  <si>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</si>
  <si>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</si>
  <si>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</si>
  <si>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</si>
  <si>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</si>
  <si>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</si>
  <si>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</si>
  <si>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</si>
  <si>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</si>
  <si>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</si>
  <si>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</si>
  <si>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</si>
  <si>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</si>
  <si>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</si>
  <si>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</si>
  <si>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</si>
  <si>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</si>
  <si>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</si>
  <si>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</si>
  <si>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</si>
  <si>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</si>
  <si>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</si>
  <si>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</si>
  <si>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</si>
  <si>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</si>
  <si>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</si>
  <si>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</si>
  <si>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</si>
  <si>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</si>
  <si>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</si>
  <si>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</si>
  <si>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</si>
  <si>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</si>
  <si>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</si>
  <si>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</si>
  <si>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</si>
  <si>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</si>
  <si>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</si>
  <si>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</si>
  <si>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</si>
  <si>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</si>
  <si>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</si>
  <si>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</si>
  <si>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</si>
  <si>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</si>
  <si>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</si>
  <si>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</si>
  <si>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</si>
  <si>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</si>
  <si>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</si>
  <si>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</si>
  <si>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</si>
  <si>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</si>
  <si>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</si>
  <si>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</si>
  <si>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</si>
  <si>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</si>
  <si>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</si>
  <si>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</si>
  <si>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</si>
  <si>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</si>
  <si>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</si>
  <si>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</si>
  <si>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</si>
  <si>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</si>
  <si>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</si>
  <si>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</si>
  <si>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</si>
  <si>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</si>
  <si>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</si>
  <si>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</si>
  <si>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</si>
  <si>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</si>
  <si>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</si>
  <si>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</si>
  <si>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</si>
  <si>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</si>
  <si>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</si>
  <si>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</si>
  <si>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</si>
  <si>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</si>
  <si>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</si>
  <si>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</si>
  <si>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</si>
  <si>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</si>
  <si>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</si>
  <si>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</si>
  <si>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</si>
  <si>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</si>
  <si>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</si>
  <si>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</si>
  <si>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</si>
  <si>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</si>
  <si>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</si>
  <si>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</si>
  <si>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</si>
  <si>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</si>
  <si>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</si>
  <si>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</si>
  <si>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</si>
  <si>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</si>
  <si>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</si>
  <si>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</si>
  <si>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</si>
  <si>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</si>
  <si>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</si>
  <si>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</si>
  <si>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</si>
  <si>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</si>
  <si>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</si>
  <si>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</si>
  <si>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</si>
  <si>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</si>
  <si>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</si>
  <si>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</si>
  <si>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</si>
  <si>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</si>
  <si>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</si>
  <si>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</si>
  <si>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</si>
  <si>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</si>
  <si>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</si>
  <si>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</si>
  <si>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</si>
  <si>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</si>
  <si>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</si>
  <si>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</si>
  <si>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</si>
  <si>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</si>
  <si>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</si>
  <si>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</si>
  <si>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</si>
  <si>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</si>
  <si>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</si>
  <si>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</si>
  <si>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</si>
  <si>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</si>
  <si>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</si>
  <si>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</si>
  <si>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</si>
  <si>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</si>
  <si>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</si>
  <si>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</si>
  <si>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</si>
  <si>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</si>
  <si>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</si>
  <si>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</si>
  <si>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</si>
  <si>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</si>
  <si>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</si>
  <si>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</si>
  <si>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</si>
  <si>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</si>
  <si>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</si>
  <si>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</si>
  <si>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</si>
  <si>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</si>
  <si>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</si>
  <si>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</si>
  <si>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</si>
  <si>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</si>
  <si>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</si>
  <si>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</si>
  <si>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</si>
  <si>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</si>
  <si>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</si>
  <si>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</si>
  <si>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</si>
  <si>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</si>
  <si>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</si>
  <si>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</si>
  <si>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</si>
  <si>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</si>
  <si>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</si>
  <si>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</si>
  <si>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</si>
  <si>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</si>
  <si>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</si>
  <si>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</si>
  <si>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</si>
  <si>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</si>
  <si>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</si>
  <si>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</si>
  <si>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</si>
  <si>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</si>
  <si>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</si>
  <si>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</si>
  <si>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</si>
  <si>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</si>
  <si>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</si>
  <si>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</si>
  <si>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</si>
  <si>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</si>
  <si>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</si>
  <si>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</si>
  <si>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</si>
  <si>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</si>
  <si>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</si>
  <si>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</si>
  <si>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</si>
  <si>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</si>
  <si>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</si>
  <si>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</si>
  <si>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</si>
  <si>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</si>
  <si>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</si>
  <si>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</si>
  <si>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</si>
  <si>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</si>
  <si>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</si>
  <si>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</si>
  <si>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</si>
  <si>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</si>
  <si>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</si>
  <si>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</si>
  <si>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</si>
  <si>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</si>
  <si>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</si>
  <si>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</si>
  <si>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</si>
  <si>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</si>
  <si>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</si>
  <si>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</si>
  <si>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</si>
  <si>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</si>
  <si>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</si>
  <si>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</si>
  <si>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</si>
  <si>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</si>
  <si>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</si>
  <si>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</si>
  <si>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</si>
  <si>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</si>
  <si>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</si>
  <si>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</si>
  <si>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</si>
  <si>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</si>
  <si>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</si>
  <si>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</si>
  <si>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</si>
  <si>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</si>
  <si>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</si>
  <si>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</si>
  <si>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</si>
  <si>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</si>
  <si>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</si>
  <si>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</si>
  <si>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</si>
  <si>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</si>
  <si>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</si>
  <si>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</si>
  <si>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</si>
  <si>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</si>
  <si>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</si>
  <si>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</si>
  <si>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</si>
  <si>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</si>
  <si>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</si>
  <si>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</si>
  <si>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</si>
  <si>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</si>
  <si>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</si>
  <si>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</si>
  <si>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</si>
  <si>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</si>
  <si>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</si>
  <si>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</si>
  <si>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</si>
  <si>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</si>
  <si>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</si>
  <si>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</si>
  <si>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</si>
  <si>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</si>
  <si>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</si>
  <si>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</si>
  <si>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</si>
  <si>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</si>
  <si>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</si>
  <si>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</si>
  <si>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</si>
  <si>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</si>
  <si>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</si>
  <si>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</si>
  <si>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</si>
  <si>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</si>
  <si>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</si>
  <si>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</si>
  <si>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</si>
  <si>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</si>
  <si>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</si>
  <si>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</si>
  <si>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</si>
  <si>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</si>
  <si>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</si>
  <si>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</si>
  <si>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</si>
  <si>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</si>
  <si>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</si>
  <si>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</si>
  <si>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</si>
  <si>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</si>
  <si>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</si>
  <si>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</si>
  <si>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</si>
  <si>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</si>
  <si>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</si>
  <si>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</si>
  <si>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</si>
  <si>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</si>
  <si>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</si>
  <si>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</si>
  <si>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</si>
  <si>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</si>
  <si>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</si>
  <si>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</si>
  <si>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</si>
  <si>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</si>
  <si>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</si>
  <si>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</si>
  <si>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</si>
  <si>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</si>
  <si>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</si>
  <si>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</si>
  <si>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</si>
  <si>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</si>
  <si>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</si>
  <si>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</si>
  <si>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</si>
  <si>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</si>
  <si>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</si>
  <si>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</si>
  <si>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</si>
  <si>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</si>
  <si>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</si>
  <si>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</si>
  <si>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</si>
  <si>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</si>
  <si>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</si>
  <si>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</si>
  <si>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</si>
  <si>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</si>
  <si>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</si>
  <si>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</si>
  <si>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</si>
  <si>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</si>
  <si>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</si>
  <si>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</si>
  <si>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</si>
  <si>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</si>
  <si>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</si>
  <si>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</si>
  <si>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</si>
  <si>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</si>
  <si>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</si>
  <si>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</si>
  <si>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</si>
  <si>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</si>
  <si>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</si>
  <si>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</si>
  <si>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</si>
  <si>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</si>
  <si>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</si>
  <si>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</si>
  <si>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</si>
  <si>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</si>
  <si>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</si>
  <si>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</si>
  <si>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</si>
  <si>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</si>
  <si>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</si>
  <si>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</si>
  <si>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</si>
  <si>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</si>
  <si>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</si>
  <si>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</si>
  <si>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</si>
  <si>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</si>
  <si>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</si>
  <si>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</si>
  <si>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</si>
  <si>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</si>
  <si>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</si>
  <si>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</si>
  <si>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</si>
  <si>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</si>
  <si>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</si>
  <si>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</si>
  <si>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</si>
  <si>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</si>
  <si>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</si>
  <si>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</si>
  <si>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</si>
  <si>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</si>
  <si>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</si>
  <si>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</si>
  <si>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</si>
  <si>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</si>
  <si>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</si>
  <si>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</si>
  <si>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</si>
  <si>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</si>
  <si>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</si>
  <si>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</si>
  <si>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</si>
  <si>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</si>
  <si>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</si>
  <si>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</si>
  <si>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</si>
  <si>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</si>
  <si>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</si>
  <si>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</si>
  <si>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</si>
  <si>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</si>
  <si>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</si>
  <si>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</si>
  <si>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</si>
  <si>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</si>
  <si>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</si>
  <si>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</si>
  <si>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</si>
  <si>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</si>
  <si>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</si>
  <si>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</si>
  <si>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</si>
  <si>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</si>
  <si>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</si>
  <si>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</si>
  <si>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</si>
  <si>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</si>
  <si>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</si>
  <si>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</si>
  <si>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</si>
  <si>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</si>
  <si>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</si>
  <si>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</si>
  <si>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</si>
  <si>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</si>
  <si>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</si>
  <si>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</si>
  <si>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</si>
  <si>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</si>
  <si>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</si>
  <si>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</si>
  <si>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</si>
  <si>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</si>
  <si>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</si>
  <si>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</si>
  <si>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</si>
  <si>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</si>
  <si>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</si>
  <si>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</si>
  <si>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</si>
  <si>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</si>
  <si>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</si>
  <si>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</si>
  <si>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</si>
  <si>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</si>
  <si>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</si>
  <si>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</si>
  <si>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</si>
  <si>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</si>
  <si>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</si>
  <si>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</si>
  <si>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</si>
  <si>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</si>
  <si>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</si>
  <si>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</si>
  <si>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</si>
  <si>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</si>
  <si>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</si>
  <si>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</si>
  <si>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</si>
  <si>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</si>
  <si>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</si>
  <si>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</si>
  <si>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</si>
  <si>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</si>
  <si>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</si>
  <si>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</si>
  <si>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</si>
  <si>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</si>
  <si>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</si>
  <si>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</si>
  <si>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</si>
  <si>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</si>
  <si>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</si>
  <si>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</si>
  <si>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</si>
  <si>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</si>
  <si>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</si>
  <si>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</si>
  <si>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</si>
  <si>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</si>
  <si>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</si>
  <si>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</si>
  <si>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</si>
  <si>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</si>
  <si>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</si>
  <si>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</si>
  <si>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</si>
  <si>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</si>
  <si>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</si>
  <si>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</si>
  <si>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</si>
  <si>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</si>
  <si>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</si>
  <si>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</si>
  <si>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</si>
  <si>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</si>
  <si>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</si>
  <si>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</si>
  <si>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</si>
  <si>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</si>
  <si>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</si>
  <si>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</si>
  <si>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</si>
  <si>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</si>
  <si>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</si>
  <si>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</si>
  <si>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</si>
  <si>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</si>
  <si>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</si>
  <si>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</si>
  <si>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</si>
  <si>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</si>
  <si>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</si>
  <si>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</si>
  <si>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</si>
  <si>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</si>
  <si>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</si>
  <si>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</si>
  <si>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</si>
  <si>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</si>
  <si>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</si>
  <si>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</si>
  <si>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</si>
  <si>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</si>
  <si>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</si>
  <si>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</si>
  <si>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</si>
  <si>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</si>
  <si>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</si>
  <si>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</si>
  <si>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</si>
  <si>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</si>
  <si>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</si>
  <si>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</si>
  <si>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</si>
  <si>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</si>
  <si>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</si>
  <si>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</si>
  <si>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</si>
  <si>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</si>
  <si>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</si>
  <si>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</si>
  <si>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</si>
  <si>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</si>
  <si>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</si>
  <si>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</si>
  <si>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</si>
  <si>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</si>
  <si>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</si>
  <si>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</si>
  <si>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</si>
  <si>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</si>
  <si>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</si>
  <si>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</si>
  <si>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</si>
  <si>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</si>
  <si>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</si>
  <si>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</si>
  <si>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</si>
  <si>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</si>
  <si>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</si>
  <si>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</si>
  <si>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</si>
  <si>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</si>
  <si>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</si>
  <si>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</si>
  <si>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</si>
  <si>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</si>
  <si>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</si>
  <si>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</si>
  <si>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</si>
  <si>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</si>
  <si>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</si>
  <si>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</si>
  <si>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</si>
  <si>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</si>
  <si>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</si>
  <si>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</si>
  <si>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</si>
  <si>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</si>
  <si>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</si>
  <si>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</si>
  <si>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</si>
  <si>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</si>
  <si>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</si>
  <si>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</si>
  <si>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</si>
  <si>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</si>
  <si>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</si>
  <si>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</si>
  <si>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</si>
  <si>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</si>
  <si>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</si>
  <si>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</si>
  <si>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</si>
  <si>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</si>
  <si>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</si>
  <si>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</si>
  <si>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</si>
  <si>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</si>
  <si>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</si>
  <si>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</si>
  <si>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</si>
  <si>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</si>
  <si>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</si>
  <si>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</si>
  <si>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</si>
  <si>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</si>
  <si>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</si>
  <si>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</si>
  <si>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</si>
  <si>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</si>
  <si>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</si>
  <si>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</si>
  <si>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</si>
  <si>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</si>
  <si>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</si>
  <si>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</si>
  <si>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</si>
  <si>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</si>
  <si>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</si>
  <si>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</si>
  <si>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</si>
  <si>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</si>
  <si>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</si>
  <si>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</si>
  <si>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</si>
  <si>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</si>
  <si>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</si>
  <si>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</si>
  <si>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</si>
  <si>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</si>
  <si>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</si>
  <si>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</si>
  <si>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</si>
  <si>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</si>
  <si>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</si>
  <si>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</si>
  <si>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</si>
  <si>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</si>
  <si>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</si>
  <si>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</si>
  <si>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</si>
  <si>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</si>
  <si>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</si>
  <si>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</si>
  <si>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</si>
  <si>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</si>
  <si>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</si>
  <si>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</si>
  <si>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</si>
  <si>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</si>
  <si>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</si>
  <si>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</si>
  <si>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</si>
  <si>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</si>
  <si>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</si>
  <si>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</si>
  <si>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</si>
  <si>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</si>
  <si>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</si>
  <si>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</si>
  <si>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</si>
  <si>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</si>
  <si>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</si>
  <si>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</si>
  <si>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</si>
  <si>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</si>
  <si>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</si>
  <si>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</si>
  <si>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</si>
  <si>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</si>
  <si>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</si>
  <si>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</si>
  <si>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</si>
  <si>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</si>
  <si>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</si>
  <si>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</si>
  <si>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</si>
  <si>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</si>
  <si>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</si>
  <si>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</si>
  <si>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</si>
  <si>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</si>
  <si>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</si>
  <si>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</si>
  <si>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</si>
  <si>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</si>
  <si>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</si>
  <si>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</si>
  <si>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</si>
  <si>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</si>
  <si>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</si>
  <si>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</si>
  <si>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</si>
  <si>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</si>
  <si>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</si>
  <si>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</si>
  <si>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</si>
  <si>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</si>
  <si>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</si>
  <si>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</si>
  <si>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moderný päťboj - bežné transfery</t>
  </si>
  <si>
    <t>Mzdy26001</t>
  </si>
  <si>
    <t>BV01/2026</t>
  </si>
  <si>
    <t>Hrubé mzdy vyplatené osobám (zamestnancom) vrátane odvodov zamestnávateľa
počet fyzických osôb : 1
obdobie : január</t>
  </si>
  <si>
    <t>osoba 1</t>
  </si>
  <si>
    <t>osoba 2</t>
  </si>
  <si>
    <t>Mzdy26002</t>
  </si>
  <si>
    <t>BV02/2026</t>
  </si>
  <si>
    <t>Hrubé mzdy vyplatené osobám (zamestnancom) vrátane odvodov zamestnávateľa
počet fyzických osôb : 1
obdobie : február</t>
  </si>
  <si>
    <t>FA2260006</t>
  </si>
  <si>
    <t>FA3471463</t>
  </si>
  <si>
    <t>mobil, internet, sekretariát SZMP február, 0905650170</t>
  </si>
  <si>
    <t>35697270</t>
  </si>
  <si>
    <t>Orange Slovensko a.s.</t>
  </si>
  <si>
    <t>FA2260007</t>
  </si>
  <si>
    <t>FAV26002</t>
  </si>
  <si>
    <t>Refakturácia nákladov na činnosť klubu pretekárov do 23 r., prenájom plaveckých dráh za 01/2026</t>
  </si>
  <si>
    <t>ŠK Raja Banská Bystrica, Poľná 139 BB</t>
  </si>
  <si>
    <t>FA2260008</t>
  </si>
  <si>
    <t>FAV26003</t>
  </si>
  <si>
    <t>Refakturácia nákladov na činnosť klubu pretekárov do 23 r.,náklady na mzdy trénera za - 01/2026</t>
  </si>
  <si>
    <t>FA2260009</t>
  </si>
  <si>
    <t>FA70260050</t>
  </si>
  <si>
    <t>poštovné za 02/2026</t>
  </si>
  <si>
    <t>35862289</t>
  </si>
  <si>
    <t>Dom športu s.r.o., Olympijské nám. 1, Bratislava</t>
  </si>
  <si>
    <t>B00326</t>
  </si>
  <si>
    <t>BV03/2026</t>
  </si>
  <si>
    <t>poplatok za vedenie účtu</t>
  </si>
  <si>
    <t>31320153</t>
  </si>
  <si>
    <t>VÚB, Vajnorská 100, Bratislava</t>
  </si>
  <si>
    <t>Mzdy26003</t>
  </si>
  <si>
    <t>Hrubé mzdy vyplatené osobám (zamestnancom) vrátane odvodov zamestnávateľa
počet fyzických osôb : 1
obdobie : marec</t>
  </si>
  <si>
    <t>osoba 3</t>
  </si>
  <si>
    <t>FA2260011</t>
  </si>
  <si>
    <t>FA70260081</t>
  </si>
  <si>
    <t>poštovné za 03/2026</t>
  </si>
  <si>
    <t>FA2260013</t>
  </si>
  <si>
    <t>FAV26005</t>
  </si>
  <si>
    <t>Refakturácia nákladov na činnosť klubu pretekárov do 23 r., prenájom plaveckých dráh za 02/2026</t>
  </si>
  <si>
    <t>FA2260014</t>
  </si>
  <si>
    <t>FAV26006</t>
  </si>
  <si>
    <t>Refakturácia nákladov na činnosť klubu pretekárov do 23 r.,náklady na mzdy trénera za - 02/2026</t>
  </si>
  <si>
    <t>FA2260016</t>
  </si>
  <si>
    <t>mobil, internet, sekretariát SZMP marecl, 0905650170</t>
  </si>
  <si>
    <t>ID260009</t>
  </si>
  <si>
    <t>Kondičné sústredenie RD a RD mládeže, Králiky, Banská Bystrica,  2. - 8.2.2026,  27 osôb, ubytovanie v zariadení VŠC DUKLA BB</t>
  </si>
  <si>
    <t>T. Doležel</t>
  </si>
  <si>
    <t>FA2260018</t>
  </si>
  <si>
    <t>FA2601019</t>
  </si>
  <si>
    <t>spracovanie miezd 1. štvrťrok 2026</t>
  </si>
  <si>
    <t>47467894</t>
  </si>
  <si>
    <t>B Accouting s.r.o. Bratislava</t>
  </si>
  <si>
    <t>B00426</t>
  </si>
  <si>
    <t>BV04/2026</t>
  </si>
  <si>
    <t>Mzdy26004</t>
  </si>
  <si>
    <t>Hrubé mzdy vyplatené osobám (zamestnancom) vrátane odvodov zamestnávateľa
počet fyzických osôb : 1
obdobie : apríl</t>
  </si>
  <si>
    <t>FA2260020</t>
  </si>
  <si>
    <t>mobil, internet, sekretariát SZMP apríl, 0905650170</t>
  </si>
  <si>
    <t>FA2260023</t>
  </si>
  <si>
    <t>FAV26017</t>
  </si>
  <si>
    <t>Refakturácia nákladov na činnosť klubu pretekárov do 23 r., prenájom plaveckých dráh za 03/2026</t>
  </si>
  <si>
    <t>FA2260024</t>
  </si>
  <si>
    <t>FAV26016</t>
  </si>
  <si>
    <t>Refakturácia nákladov na činnosť klubu pretekárov do 23 r.,náklady na mzdy trénera za - 03/2026</t>
  </si>
  <si>
    <t>FA2260025</t>
  </si>
  <si>
    <t>Inv.260303</t>
  </si>
  <si>
    <t>členský poplatok medzinárodnej únii UIPM na rok 2026</t>
  </si>
  <si>
    <t>UIPM, Monako</t>
  </si>
  <si>
    <t>Pracovná cesta
Názov: Európsky pohár mládeže
Termín: 23. - 27.04.2026
Miesto - mesto a štát: Barcelona, Špnielsko
Spôsob dopravy: letecky a auto 
Počet všetkých osôb na pracovnej ceste: 6
z toho:
- športovci (+ navádzači):5
- tréneri + rozhodcovia + vedúci výpravy + administratívni pracovníci + lekár + fyzioterapeut + masér + ): 1
- ostatné osoby (napr. sponzori, hostia): 0</t>
  </si>
  <si>
    <t>FA2260012</t>
  </si>
  <si>
    <t>FA8126018080</t>
  </si>
  <si>
    <t>5 leteniek Viedeň - Barcelona a späť pre Doležel, Halgaš, Hudec, Janek, D. Nôta a S. Nôta</t>
  </si>
  <si>
    <t>35897821</t>
  </si>
  <si>
    <t>pelicantravel. com. s.r.o., Pribinova 10, Bratislava</t>
  </si>
  <si>
    <t>FA2260015</t>
  </si>
  <si>
    <t>FA8126021156</t>
  </si>
  <si>
    <t>5 leteniek Viedeň - Barcelona a späť pre Doležel, Halgaš, Hudec, Janek, D. Nôta a S. Nôta - doplatok za letenky, miestenky, služby</t>
  </si>
  <si>
    <t>FA2260017</t>
  </si>
  <si>
    <t>FA8126023587</t>
  </si>
  <si>
    <t>5 leteniek Viedeň - Barcelona a späť pre Doležel, Halgaš, Hudec, Janek, D. Nôta a S. Nôta - zmena mena na letenke, ranenie pretekára, výmena Bocko - Janek</t>
  </si>
  <si>
    <t>ID260011</t>
  </si>
  <si>
    <t>Inv.:026.2026 EUCUP</t>
  </si>
  <si>
    <t>účastnícke poplatky, EP mládeže 24. - 27.4.2026 Barcelona, 6 účastníkov 3 dni</t>
  </si>
  <si>
    <t>Federáció Catalana de Pentatló Modern, Malorca, Španielsko</t>
  </si>
  <si>
    <t>FA2026009</t>
  </si>
  <si>
    <t>doprava pretekárov na letisko, Škoda Octavia TN507GV, Banská Bystrica - Letisko Schwechat a späť 2x,, odlet 24.4. a prílet 27.4.2026, spolu 1074 km</t>
  </si>
  <si>
    <t>51662850</t>
  </si>
  <si>
    <t>Roman Kukla, KOMPLEXX, Drietoma 769</t>
  </si>
  <si>
    <t>594,,46</t>
  </si>
  <si>
    <t>Pracovná cesta
Názov: 1. kolo Slov. pohára mládeže a M-SR U17 a U15
Termín: 18.04.2026
Miesto - mesto a štát: Banská Bystrica
Spôsob dopravy: auto vlastné
Počet všetkých osôb na pracovnej ceste: 56
z toho:
- športovci (+ navádzači):48
- tréneri + rozhodcovia + vedúci výpravy + administratívni pracovníci + lekár + fyzioterapeut + masér + ): 8
- ostatné osoby (napr. sponzori, hostia): 0</t>
  </si>
  <si>
    <t>ID260012</t>
  </si>
  <si>
    <t>145335810006</t>
  </si>
  <si>
    <t>cestovné, auto vlastné D. Poláček st.  (SC742FI), Bratislava - Banská Bystrica a späť) 410km</t>
  </si>
  <si>
    <t>D. Poláček st.</t>
  </si>
  <si>
    <t>FA2260026</t>
  </si>
  <si>
    <t>FA542444200</t>
  </si>
  <si>
    <t>napájací adaptér pre notbook - sekretariát SZMP, 1 ks</t>
  </si>
  <si>
    <t>36562939</t>
  </si>
  <si>
    <t>Alza.sk, s.r.o., Karadžičova 8 Bratislava</t>
  </si>
  <si>
    <t>ID260013</t>
  </si>
  <si>
    <t>lekárska prehliadka člena RD, O. Halgaš</t>
  </si>
  <si>
    <t>Pracovná cesta
Názov: 2. kolo Slov. pohára mládeže a zasadnutie Rady SZMP
Termín: 16.05.2026
Miesto - mesto a štát: Banská Bystrica
Spôsob dopravy: auto vlastné
Počet všetkých osôb na pracovnej ceste: 69
z toho:
- športovci (+ navádzači):61
- tréneri + rozhodcovia + vedúci výpravy + administratívni pracovníci + lekár + fyzioterapeut + masér + ): 8
- ostatné osoby (napr. sponzori, hostia): 0</t>
  </si>
  <si>
    <t>ID260015</t>
  </si>
  <si>
    <t>21/03/26051411565</t>
  </si>
  <si>
    <t>cestovné, auto vlastné D. Poláček st.  (SC742FI), Bratislava - Banská Bystrica a späť) 418km</t>
  </si>
  <si>
    <t>514/13/3810</t>
  </si>
  <si>
    <t>cestovné, auto vlastné I. Boledovič - kontrolór SZMP  (BA369FK), Bratislava - Banská Bystrica a späť) 440 km</t>
  </si>
  <si>
    <t>I. Boledovič</t>
  </si>
  <si>
    <t>B00526</t>
  </si>
  <si>
    <t>BV05/2026</t>
  </si>
  <si>
    <t>Mzdy26005</t>
  </si>
  <si>
    <t>FA2260027</t>
  </si>
  <si>
    <t>mobil, internet, skretariát SZMP 0905 650 170, máj 26</t>
  </si>
  <si>
    <t>FA2260029</t>
  </si>
  <si>
    <t>FA70260142</t>
  </si>
  <si>
    <t>poštovné za 05/2026</t>
  </si>
  <si>
    <t>ID260014</t>
  </si>
  <si>
    <t>FAV26023</t>
  </si>
  <si>
    <t>doprava pretekárov na letisko, Toyota C-HR  AB014BD, Banská Bystrica - Letisko Schwechat a späť 2x,, odlet 24.4. a prílet 27.4.2026, spolu 550 km</t>
  </si>
  <si>
    <t>FA2260032</t>
  </si>
  <si>
    <t>FAV26026</t>
  </si>
  <si>
    <t>prenájom športovej haly na preteky Sl. pohára mládeže, 2. kolo Banská Bystrica 16.5.2026 na 1 hod.</t>
  </si>
  <si>
    <t>FA2260033</t>
  </si>
  <si>
    <t>FAV26027</t>
  </si>
  <si>
    <t>prenájom plavárne na 1 hod. na preteky 1. kola  Sl. pohára mládeže, 18.4.2026</t>
  </si>
  <si>
    <t>FA2260034</t>
  </si>
  <si>
    <t>FAV26030</t>
  </si>
  <si>
    <t>prenájom plavárne na 1 hod. na preteky 2. kola  Sl. pohára mládeže, 16.5.2026</t>
  </si>
  <si>
    <t>Pracovná cesta
Názov: 3. kolo Slov. pohára mládeže a Konferencia SZMP
Termín: 6.06.2026
Miesto - mesto a štát: Banská Bystrica
Spôsob dopravy: auto vlastné
Počet všetkých osôb na pracovnej ceste: 69
z toho:
- športovci (+ navádzači):61
- tréneri + rozhodcovia + vedúci výpravy + administratívni pracovníci + lekár + fyzioterapeut + masér + ): 8
- ostatné osoby (napr. sponzori, hostia): 0</t>
  </si>
  <si>
    <t>ID260018</t>
  </si>
  <si>
    <t>7704962961</t>
  </si>
  <si>
    <t>cestovné, auto vlastné D. Poláček st.  (SC742FI), Bratislava - Banská Bystrica a späť) 412km</t>
  </si>
  <si>
    <t>FA2260035</t>
  </si>
  <si>
    <t>FA5421218203</t>
  </si>
  <si>
    <t>anténa na mobilný internet 0905650170 na organizáciu pretekov a spracovanie výsledkov pri súťažiach SZMP</t>
  </si>
  <si>
    <t>B00626</t>
  </si>
  <si>
    <t>BV06/2026</t>
  </si>
  <si>
    <t>Mzdy26006</t>
  </si>
  <si>
    <t>Hrubé mzdy vyplatené osobám (zamestnancom) vrátane odvodov zamestnávateľa
počet fyzických osôb : 1
obdobie : jún</t>
  </si>
  <si>
    <t>Pracovná cesta
Názov: Hungarian Indoor Open - kvalifikačné preteky
Termín: 10. - 14.03.2026
Miesto - mesto a štát: Budapešť, Maďarsko
Spôsob dopravy:  auto 
Počet všetkých osôb na pracovnej ceste:3
z toho:
- športovci (+ navádzači):2
- tréneri + rozhodcovia + vedúci výpravy + administratívni pracovníci + lekár + fyzioterapeut + masér + ): 1
- ostatné osoby (napr. sponzori, hostia): 0</t>
  </si>
  <si>
    <t>FA2260000</t>
  </si>
  <si>
    <t>FAD-5TUSA-129</t>
  </si>
  <si>
    <t>účastnícke poplatky, 3 účastníci (Doležel, Halgaš, S. Nôta) 4 dni</t>
  </si>
  <si>
    <t>Magyar ottusa Szovetseg, Budapešť, Maďarsko</t>
  </si>
  <si>
    <t>ID260010</t>
  </si>
  <si>
    <t>ubytovanie, 3 osoby  (Doležel, Halgaš, S. Nôta) 4 noci</t>
  </si>
  <si>
    <t>HV1/26</t>
  </si>
  <si>
    <t>stravné v zahraničí 3 osoby  (Doležel, Halgaš, S. Nôta) 4dnii</t>
  </si>
  <si>
    <t>diaľničná známka 10 dňová, Rakúsko a parkovné na letisku Schwechat, Toyota C-HR AB014BD</t>
  </si>
  <si>
    <t>diaľničná známka 10 dňová, Maďarsko, Toyota C-HR AB014BD</t>
  </si>
  <si>
    <t>2260021</t>
  </si>
  <si>
    <t>FAV26007</t>
  </si>
  <si>
    <t>doprava pretekárov na preteky, Toyota C-HR  AB014BD, Banská Bystrica - Budapešť a späť  spolu 472 km</t>
  </si>
  <si>
    <t>Pracovná cesta
Názov: ME U17
Termín: 06. - 11.07.2026
Miesto - mesto a štát: Pontevedra, Španielsko
Spôsob dopravy: letecky a auto 
Počet všetkých osôb na pracovnej ceste:2
z toho:
- športovci (+ navádzači):1
- tréneri + rozhodcovia + vedúci výpravy + administratívni pracovníci + lekár + fyzioterapeut + masér + ): 1
- ostatné osoby (napr. sponzori, hostia): 0</t>
  </si>
  <si>
    <t>FA2260028</t>
  </si>
  <si>
    <t>FA20260010</t>
  </si>
  <si>
    <t>účastnícke poplatky, štartovné a ubytovanie, 2 osoby (Doležel, D. Nôta) na 5 dní</t>
  </si>
  <si>
    <t>FA2260030</t>
  </si>
  <si>
    <t>FA812603267</t>
  </si>
  <si>
    <t>letenky 2 osoby (Doležel, D. Nôta), Viedeň - Pontevedra a späť</t>
  </si>
  <si>
    <t>FA2260046</t>
  </si>
  <si>
    <t>FA2026014</t>
  </si>
  <si>
    <t>do</t>
  </si>
  <si>
    <t>doprava pretekárov na letisko, Škoda Octavia TN507GV,Čaradice - Banská Bystrica - Letisko Schwechat a späť 2x,, odlet 06.7. a prílet 11.7.2026, spolu 1074 km</t>
  </si>
  <si>
    <t>FA2260036</t>
  </si>
  <si>
    <t>FA542183674</t>
  </si>
  <si>
    <t>toner do tlačiarne, čierny, sekretariát SZMP</t>
  </si>
  <si>
    <t>FA2260037</t>
  </si>
  <si>
    <t>mobil, internet, skretariát SZMP 0905 650 170, jún 26</t>
  </si>
  <si>
    <t>FA2260038</t>
  </si>
  <si>
    <t>FA2601037</t>
  </si>
  <si>
    <t>spracovanie miezd 2. štvrťrok 2026</t>
  </si>
  <si>
    <t>FA2260039</t>
  </si>
  <si>
    <t>FA70260187</t>
  </si>
  <si>
    <t>poštovné za 06/2026</t>
  </si>
  <si>
    <t>FA2260040</t>
  </si>
  <si>
    <t>FAV26024</t>
  </si>
  <si>
    <t>Refakturácia nákladov na činnosť klubu pretekárov do 23 r., prenájom plaveckých dráh za 04/2026</t>
  </si>
  <si>
    <t>FA2260041</t>
  </si>
  <si>
    <t>FAV26025</t>
  </si>
  <si>
    <t>Refakturácia nákladov na činnosť klubu pretekárov do 23 r.,náklady na mzdy trénera za - 04/2026</t>
  </si>
  <si>
    <t>FA2260042</t>
  </si>
  <si>
    <t>FAV26035</t>
  </si>
  <si>
    <t>Refakturácia nákladov na činnosť klubu pretekárov do 23 r., prenájom plaveckých dráh za 05/2026</t>
  </si>
  <si>
    <t>FA2260043</t>
  </si>
  <si>
    <t>FAV26036</t>
  </si>
  <si>
    <t>Refakturácia nákladov na činnosť klubu pretekárov do 23 r.,náklady na mzdy trénera za - 05/2026</t>
  </si>
  <si>
    <t>FA2260044</t>
  </si>
  <si>
    <t>FAV26037</t>
  </si>
  <si>
    <t>prenájom plavárne na 1 hod. na preteky 3. kola  Sl. pohára mládeže, 6.6.2026</t>
  </si>
  <si>
    <t>ID260020</t>
  </si>
  <si>
    <t>42669037308</t>
  </si>
  <si>
    <t>nákup kancelárskych potrieb, sekretariát SZMP, zakladače 4 ks, náplň do pera 2ks</t>
  </si>
  <si>
    <t>31331131</t>
  </si>
  <si>
    <t>ŠEVT a.s., Bratislava, Vajnorská 100</t>
  </si>
  <si>
    <t>mobil, internet, skretariát SZMP 0905 650 170, júl 26</t>
  </si>
  <si>
    <t>B00726</t>
  </si>
  <si>
    <t>BV07/2026</t>
  </si>
  <si>
    <t>Mzdy26007</t>
  </si>
  <si>
    <t>Hrubé mzdy vyplatené osobám (zamestnancom) vrátane odvodov zamestnávateľa
počet fyzických osôb : 1
obdobie : júl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</si>
</sst>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26" val="10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ht="22.2" customHeight="1" x14ac:dyDescent="0.25">
      <c r="A1" s="319" t="s">
        <v>1571</v>
      </c>
    </row>
    <row r="2" spans="1:4" s="18" customFormat="1" ht="61.2" customHeight="1" x14ac:dyDescent="0.25">
      <c r="A2" s="297" t="s">
        <v>1572</v>
      </c>
      <c r="C2" s="324"/>
      <c r="D2" s="324"/>
    </row>
    <row r="3" spans="1:4" s="18" customFormat="1" ht="17.399999999999999" customHeight="1" x14ac:dyDescent="0.25">
      <c r="A3" s="17"/>
      <c r="C3" s="197"/>
      <c r="D3" s="197"/>
    </row>
    <row r="4" spans="1:4" s="18" customFormat="1" ht="17.399999999999999" x14ac:dyDescent="0.25">
      <c r="A4" s="259" t="s">
        <v>0</v>
      </c>
      <c r="C4" s="197"/>
      <c r="D4" s="197"/>
    </row>
    <row r="5" spans="1:4" s="18" customFormat="1" ht="17.399999999999999" x14ac:dyDescent="0.25">
      <c r="A5" s="260" t="s">
        <v>1</v>
      </c>
      <c r="C5" s="197"/>
      <c r="D5" s="197"/>
    </row>
    <row r="6" spans="1:4" s="18" customFormat="1" ht="17.399999999999999" x14ac:dyDescent="0.25">
      <c r="A6" s="260" t="s">
        <v>2</v>
      </c>
      <c r="C6" s="197"/>
      <c r="D6" s="197"/>
    </row>
    <row r="7" spans="1:4" s="18" customFormat="1" ht="26.4" x14ac:dyDescent="0.25">
      <c r="A7" s="260" t="s">
        <v>1433</v>
      </c>
      <c r="C7" s="197"/>
      <c r="D7" s="197"/>
    </row>
    <row r="8" spans="1:4" s="18" customFormat="1" ht="17.399999999999999" x14ac:dyDescent="0.25">
      <c r="A8" s="285" t="s">
        <v>3</v>
      </c>
      <c r="C8" s="197"/>
      <c r="D8" s="197"/>
    </row>
    <row r="9" spans="1:4" s="18" customFormat="1" ht="17.399999999999999" x14ac:dyDescent="0.25">
      <c r="A9" s="261" t="s">
        <v>1211</v>
      </c>
      <c r="C9" s="197"/>
      <c r="D9" s="197"/>
    </row>
    <row r="10" spans="1:4" s="18" customFormat="1" ht="17.399999999999999" x14ac:dyDescent="0.25">
      <c r="A10" s="261" t="s">
        <v>1212</v>
      </c>
      <c r="C10" s="197"/>
      <c r="D10" s="197"/>
    </row>
    <row r="11" spans="1:4" s="18" customFormat="1" ht="17.399999999999999" x14ac:dyDescent="0.25">
      <c r="A11" s="285" t="s">
        <v>1213</v>
      </c>
      <c r="C11" s="197"/>
      <c r="D11" s="197"/>
    </row>
    <row r="12" spans="1:4" s="18" customFormat="1" ht="39.6" x14ac:dyDescent="0.25">
      <c r="A12" s="285" t="s">
        <v>1214</v>
      </c>
      <c r="C12" s="197"/>
      <c r="D12" s="197"/>
    </row>
    <row r="13" spans="1:4" s="18" customFormat="1" ht="24.6" customHeight="1" x14ac:dyDescent="0.25">
      <c r="A13" s="293" t="s">
        <v>1231</v>
      </c>
      <c r="C13" s="197"/>
      <c r="D13" s="197"/>
    </row>
    <row r="14" spans="1:4" s="18" customFormat="1" ht="17.399999999999999" customHeight="1" x14ac:dyDescent="0.25">
      <c r="A14" s="298"/>
      <c r="C14" s="197"/>
      <c r="D14" s="197"/>
    </row>
    <row r="15" spans="1:4" s="18" customFormat="1" ht="19.8" customHeight="1" x14ac:dyDescent="0.25">
      <c r="A15" s="299" t="s">
        <v>4</v>
      </c>
      <c r="C15" s="197"/>
      <c r="D15" s="197"/>
    </row>
    <row r="16" spans="1:4" ht="17.399999999999999" customHeight="1" x14ac:dyDescent="0.25">
      <c r="A16" s="127"/>
      <c r="C16" s="21"/>
    </row>
    <row r="17" spans="1:4" ht="315.60000000000002" customHeight="1" x14ac:dyDescent="0.25">
      <c r="A17" s="287" t="s">
        <v>1568</v>
      </c>
      <c r="C17" s="21"/>
    </row>
    <row r="18" spans="1:4" ht="17.399999999999999" customHeight="1" x14ac:dyDescent="0.25">
      <c r="A18" s="21"/>
      <c r="C18" s="21"/>
    </row>
    <row r="19" spans="1:4" ht="227.4" customHeight="1" x14ac:dyDescent="0.25">
      <c r="A19" s="287" t="s">
        <v>5</v>
      </c>
      <c r="B19" s="249"/>
      <c r="C19" s="21"/>
    </row>
    <row r="20" spans="1:4" x14ac:dyDescent="0.25">
      <c r="A20" s="21"/>
      <c r="B20" s="249"/>
      <c r="C20" s="21"/>
    </row>
    <row r="21" spans="1:4" ht="17.399999999999999" x14ac:dyDescent="0.25">
      <c r="A21" s="288" t="s">
        <v>6</v>
      </c>
      <c r="C21" s="21"/>
    </row>
    <row r="22" spans="1:4" ht="39.6" x14ac:dyDescent="0.25">
      <c r="A22" s="19" t="s">
        <v>7</v>
      </c>
      <c r="C22" s="325"/>
      <c r="D22" s="325"/>
    </row>
    <row r="23" spans="1:4" x14ac:dyDescent="0.25">
      <c r="C23" s="326"/>
      <c r="D23" s="325"/>
    </row>
    <row r="24" spans="1:4" ht="67.95" customHeight="1" x14ac:dyDescent="0.25">
      <c r="A24" s="23" t="s">
        <v>1232</v>
      </c>
      <c r="C24" s="247"/>
      <c r="D24" s="248"/>
    </row>
    <row r="25" spans="1:4" x14ac:dyDescent="0.25">
      <c r="C25" s="322"/>
      <c r="D25" s="323"/>
    </row>
    <row r="26" spans="1:4" ht="28.5" customHeight="1" x14ac:dyDescent="0.25">
      <c r="A26" s="23" t="s">
        <v>8</v>
      </c>
    </row>
    <row r="28" spans="1:4" ht="26.4" x14ac:dyDescent="0.25">
      <c r="A28" s="19" t="s">
        <v>1560</v>
      </c>
      <c r="B28" s="253"/>
    </row>
    <row r="29" spans="1:4" x14ac:dyDescent="0.25">
      <c r="A29" s="20"/>
    </row>
    <row r="30" spans="1:4" ht="41.55" customHeight="1" x14ac:dyDescent="0.25">
      <c r="A30" s="23" t="s">
        <v>9</v>
      </c>
    </row>
    <row r="32" spans="1:4" ht="26.4" x14ac:dyDescent="0.25">
      <c r="A32" s="19" t="s">
        <v>1215</v>
      </c>
    </row>
    <row r="34" spans="1:3" x14ac:dyDescent="0.25">
      <c r="A34" s="19" t="s">
        <v>1216</v>
      </c>
    </row>
    <row r="36" spans="1:3" ht="52.8" x14ac:dyDescent="0.25">
      <c r="A36" s="19" t="s">
        <v>1218</v>
      </c>
    </row>
    <row r="38" spans="1:3" ht="26.4" x14ac:dyDescent="0.25">
      <c r="A38" s="263" t="s">
        <v>1217</v>
      </c>
    </row>
    <row r="40" spans="1:3" ht="79.2" x14ac:dyDescent="0.25">
      <c r="A40" s="23" t="s">
        <v>1219</v>
      </c>
    </row>
    <row r="42" spans="1:3" ht="26.4" x14ac:dyDescent="0.25">
      <c r="A42" s="19" t="s">
        <v>10</v>
      </c>
    </row>
    <row r="44" spans="1:3" ht="79.2" x14ac:dyDescent="0.25">
      <c r="A44" s="291" t="s">
        <v>1562</v>
      </c>
      <c r="C44" s="22"/>
    </row>
    <row r="45" spans="1:3" ht="66" x14ac:dyDescent="0.25">
      <c r="A45" s="289" t="s">
        <v>1563</v>
      </c>
      <c r="C45" s="22"/>
    </row>
    <row r="46" spans="1:3" x14ac:dyDescent="0.25">
      <c r="A46" s="283"/>
      <c r="C46" s="22"/>
    </row>
    <row r="47" spans="1:3" ht="52.8" x14ac:dyDescent="0.25">
      <c r="A47" s="290" t="s">
        <v>11</v>
      </c>
      <c r="C47" s="22"/>
    </row>
    <row r="49" spans="1:1" x14ac:dyDescent="0.25">
      <c r="A49" s="291" t="s">
        <v>1220</v>
      </c>
    </row>
    <row r="51" spans="1:1" ht="39.6" x14ac:dyDescent="0.25">
      <c r="A51" s="19" t="s">
        <v>1221</v>
      </c>
    </row>
    <row r="53" spans="1:1" ht="79.2" x14ac:dyDescent="0.25">
      <c r="A53" s="19" t="s">
        <v>1222</v>
      </c>
    </row>
    <row r="55" spans="1:1" ht="48.45" customHeight="1" x14ac:dyDescent="0.25">
      <c r="A55" s="19" t="s">
        <v>1223</v>
      </c>
    </row>
    <row r="57" spans="1:1" ht="19.05" customHeight="1" x14ac:dyDescent="0.25">
      <c r="A57" s="19" t="s">
        <v>12</v>
      </c>
    </row>
    <row r="59" spans="1:1" ht="18.45" customHeight="1" x14ac:dyDescent="0.25">
      <c r="A59" s="19" t="s">
        <v>13</v>
      </c>
    </row>
    <row r="61" spans="1:1" ht="145.19999999999999" x14ac:dyDescent="0.25">
      <c r="A61" s="23" t="s">
        <v>1224</v>
      </c>
    </row>
    <row r="62" spans="1:1" x14ac:dyDescent="0.25">
      <c r="A62" s="23"/>
    </row>
    <row r="63" spans="1:1" x14ac:dyDescent="0.25">
      <c r="A63" s="19" t="s">
        <v>14</v>
      </c>
    </row>
    <row r="64" spans="1:1" ht="26.4" x14ac:dyDescent="0.25">
      <c r="A64" s="19" t="s">
        <v>15</v>
      </c>
    </row>
    <row r="65" spans="1:1" ht="29.55" customHeight="1" x14ac:dyDescent="0.25">
      <c r="A65" s="19" t="s">
        <v>1225</v>
      </c>
    </row>
    <row r="67" spans="1:1" ht="88.05" customHeight="1" x14ac:dyDescent="0.25">
      <c r="A67" s="23" t="s">
        <v>16</v>
      </c>
    </row>
    <row r="69" spans="1:1" ht="17.399999999999999" x14ac:dyDescent="0.25">
      <c r="A69" s="250" t="s">
        <v>17</v>
      </c>
    </row>
    <row r="71" spans="1:1" ht="178.5" customHeight="1" x14ac:dyDescent="0.25">
      <c r="A71" s="251" t="s">
        <v>18</v>
      </c>
    </row>
    <row r="72" spans="1:1" x14ac:dyDescent="0.25">
      <c r="A72" s="251"/>
    </row>
    <row r="73" spans="1:1" ht="166.95" customHeight="1" x14ac:dyDescent="0.25">
      <c r="A73" s="300" t="s">
        <v>1240</v>
      </c>
    </row>
    <row r="74" spans="1:1" ht="39.6" x14ac:dyDescent="0.25">
      <c r="A74" s="23" t="s">
        <v>1241</v>
      </c>
    </row>
    <row r="75" spans="1:1" x14ac:dyDescent="0.25">
      <c r="A75" s="25" t="s">
        <v>19</v>
      </c>
    </row>
    <row r="76" spans="1:1" ht="52.8" x14ac:dyDescent="0.25">
      <c r="A76" s="23" t="s">
        <v>20</v>
      </c>
    </row>
    <row r="77" spans="1:1" ht="26.4" x14ac:dyDescent="0.25">
      <c r="A77" s="23" t="s">
        <v>21</v>
      </c>
    </row>
    <row r="78" spans="1:1"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7.399999999999999" x14ac:dyDescent="0.25">
      <c r="A88" s="294" t="s">
        <v>30</v>
      </c>
    </row>
    <row r="90" spans="1:2" x14ac:dyDescent="0.25">
      <c r="A90" s="252" t="s">
        <v>31</v>
      </c>
    </row>
    <row r="91" spans="1:2" x14ac:dyDescent="0.25">
      <c r="A91" s="23" t="s">
        <v>32</v>
      </c>
    </row>
    <row r="92" spans="1:2" x14ac:dyDescent="0.25">
      <c r="A92" s="25" t="s">
        <v>19</v>
      </c>
    </row>
    <row r="93" spans="1:2" ht="16.95" customHeight="1" x14ac:dyDescent="0.25">
      <c r="A93" s="23" t="s">
        <v>33</v>
      </c>
      <c r="B93" s="254"/>
    </row>
    <row r="94" spans="1:2" x14ac:dyDescent="0.25">
      <c r="A94" s="23"/>
    </row>
    <row r="95" spans="1:2" x14ac:dyDescent="0.25">
      <c r="A95" s="252" t="s">
        <v>34</v>
      </c>
    </row>
    <row r="96" spans="1:2" ht="52.8" x14ac:dyDescent="0.25">
      <c r="A96" s="23" t="s">
        <v>1233</v>
      </c>
    </row>
    <row r="97" spans="1:4" x14ac:dyDescent="0.25">
      <c r="A97" s="23"/>
    </row>
    <row r="98" spans="1:4" x14ac:dyDescent="0.25">
      <c r="A98" s="252" t="s">
        <v>35</v>
      </c>
    </row>
    <row r="99" spans="1:4" ht="79.2" x14ac:dyDescent="0.25">
      <c r="A99" s="23" t="s">
        <v>1234</v>
      </c>
    </row>
    <row r="100" spans="1:4" x14ac:dyDescent="0.25">
      <c r="A100" s="23"/>
    </row>
    <row r="101" spans="1:4" x14ac:dyDescent="0.25">
      <c r="A101" s="252" t="s">
        <v>36</v>
      </c>
    </row>
    <row r="102" spans="1:4" ht="82.05" customHeight="1" x14ac:dyDescent="0.25">
      <c r="A102" s="23" t="s">
        <v>1235</v>
      </c>
    </row>
    <row r="103" spans="1:4" x14ac:dyDescent="0.25">
      <c r="A103" s="23"/>
    </row>
    <row r="104" spans="1:4" x14ac:dyDescent="0.25">
      <c r="A104" s="286" t="s">
        <v>37</v>
      </c>
    </row>
    <row r="105" spans="1:4" ht="55.05" customHeight="1" x14ac:dyDescent="0.25">
      <c r="A105" s="23" t="s">
        <v>1236</v>
      </c>
    </row>
    <row r="106" spans="1:4" x14ac:dyDescent="0.25">
      <c r="A106" s="23"/>
      <c r="B106" s="20" t="s">
        <v>38</v>
      </c>
    </row>
    <row r="107" spans="1:4" x14ac:dyDescent="0.25">
      <c r="A107" s="252" t="s">
        <v>39</v>
      </c>
    </row>
    <row r="108" spans="1:4" ht="67.5" customHeight="1" x14ac:dyDescent="0.25">
      <c r="A108" s="19" t="s">
        <v>1565</v>
      </c>
    </row>
    <row r="109" spans="1:4" ht="39.6" x14ac:dyDescent="0.25">
      <c r="A109" s="19" t="s">
        <v>1228</v>
      </c>
    </row>
    <row r="110" spans="1:4" ht="29.55" customHeight="1" x14ac:dyDescent="0.25">
      <c r="A110" s="19" t="s">
        <v>40</v>
      </c>
    </row>
    <row r="111" spans="1:4" x14ac:dyDescent="0.25">
      <c r="D111" s="20" t="s">
        <v>38</v>
      </c>
    </row>
    <row r="112" spans="1:4" ht="92.4" x14ac:dyDescent="0.25">
      <c r="A112" s="23" t="s">
        <v>1227</v>
      </c>
    </row>
    <row r="113" spans="1:2" ht="26.4" x14ac:dyDescent="0.25">
      <c r="A113" s="19" t="s">
        <v>1226</v>
      </c>
    </row>
    <row r="115" spans="1:2" ht="182.55" customHeight="1" x14ac:dyDescent="0.25">
      <c r="A115" s="23" t="s">
        <v>1567</v>
      </c>
    </row>
    <row r="116" spans="1:2" x14ac:dyDescent="0.25">
      <c r="A116" s="262"/>
      <c r="B116" s="249"/>
    </row>
    <row r="117" spans="1:2" x14ac:dyDescent="0.25">
      <c r="A117" s="252" t="s">
        <v>41</v>
      </c>
    </row>
    <row r="118" spans="1:2" ht="26.4" x14ac:dyDescent="0.25">
      <c r="A118" s="23" t="s">
        <v>42</v>
      </c>
    </row>
    <row r="119" spans="1:2" x14ac:dyDescent="0.25">
      <c r="A119" s="23"/>
    </row>
    <row r="120" spans="1:2" x14ac:dyDescent="0.25">
      <c r="A120" s="252" t="s">
        <v>43</v>
      </c>
    </row>
    <row r="121" spans="1:2" x14ac:dyDescent="0.25">
      <c r="A121" s="23" t="s">
        <v>44</v>
      </c>
    </row>
    <row r="122" spans="1:2" x14ac:dyDescent="0.25">
      <c r="A122" s="23"/>
    </row>
    <row r="123" spans="1:2" x14ac:dyDescent="0.25">
      <c r="A123" s="23" t="s">
        <v>45</v>
      </c>
    </row>
    <row r="124" spans="1:2" ht="26.4" x14ac:dyDescent="0.25">
      <c r="A124" s="23" t="s">
        <v>46</v>
      </c>
    </row>
    <row r="125" spans="1:2" x14ac:dyDescent="0.25">
      <c r="A125" s="23" t="s">
        <v>47</v>
      </c>
    </row>
    <row r="126" spans="1:2" ht="26.4" x14ac:dyDescent="0.25">
      <c r="A126" s="23" t="s">
        <v>1566</v>
      </c>
    </row>
    <row r="127" spans="1:2" ht="39.6" x14ac:dyDescent="0.25">
      <c r="A127" s="23" t="s">
        <v>48</v>
      </c>
    </row>
    <row r="128" spans="1:2" ht="26.4" x14ac:dyDescent="0.25">
      <c r="A128" s="23" t="s">
        <v>1237</v>
      </c>
    </row>
    <row r="129" spans="1:1" x14ac:dyDescent="0.25">
      <c r="A129" s="296" t="s">
        <v>19</v>
      </c>
    </row>
    <row r="130" spans="1:1" x14ac:dyDescent="0.25">
      <c r="A130" s="295" t="s">
        <v>49</v>
      </c>
    </row>
    <row r="131" spans="1:1" x14ac:dyDescent="0.25">
      <c r="A131" s="23"/>
    </row>
    <row r="132" spans="1:1" x14ac:dyDescent="0.25">
      <c r="A132" s="286" t="s">
        <v>50</v>
      </c>
    </row>
    <row r="133" spans="1:1" ht="31.05" customHeight="1" x14ac:dyDescent="0.25">
      <c r="A133" s="23" t="s">
        <v>1229</v>
      </c>
    </row>
    <row r="134" spans="1:1" ht="52.8" x14ac:dyDescent="0.25">
      <c r="A134" s="292" t="s">
        <v>1238</v>
      </c>
    </row>
    <row r="135" spans="1:1" x14ac:dyDescent="0.25">
      <c r="A135" s="252" t="s">
        <v>1239</v>
      </c>
    </row>
    <row r="136" spans="1:1" ht="109.5" customHeight="1" x14ac:dyDescent="0.25">
      <c r="A136" s="292" t="s">
        <v>1230</v>
      </c>
    </row>
    <row r="137" spans="1:1" x14ac:dyDescent="0.25">
      <c r="A137"/>
    </row>
    <row r="138" spans="1:1" ht="61.2" customHeight="1" x14ac:dyDescent="0.25">
      <c r="A138" s="317" t="s">
        <v>1570</v>
      </c>
    </row>
    <row r="140" spans="1:1" ht="66" x14ac:dyDescent="0.25">
      <c r="A140" s="318" t="s">
        <v>1569</v>
      </c>
    </row>
    <row r="143" spans="1:1" x14ac:dyDescent="0.2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7" t="s">
        <v>51</v>
      </c>
      <c r="B1" s="327"/>
      <c r="C1" s="327"/>
      <c r="D1" s="327"/>
      <c r="E1" s="327"/>
      <c r="F1" s="327"/>
      <c r="G1" s="327"/>
      <c r="H1" s="327"/>
      <c r="I1" s="52"/>
      <c r="J1" s="37"/>
    </row>
    <row r="2" spans="1:11" ht="13.8" x14ac:dyDescent="0.25">
      <c r="A2" s="333" t="str">
        <f>Doklady!A100</f>
        <v>Priebežné čerpanie a vyúčtovanie finančných prostriedkov poskytnutých zo štátneho rozpočtu v oblasti športu v roku 2026</v>
      </c>
      <c r="B2" s="333"/>
      <c r="C2" s="333"/>
      <c r="D2" s="333"/>
      <c r="E2" s="333"/>
      <c r="F2" s="333"/>
      <c r="G2" s="333"/>
      <c r="H2" s="331" t="str">
        <f>+Doklady!I100</f>
        <v>V1</v>
      </c>
      <c r="I2" s="331"/>
    </row>
    <row r="3" spans="1:11" ht="13.8" x14ac:dyDescent="0.25">
      <c r="A3" s="40"/>
      <c r="B3" s="40"/>
      <c r="C3" s="40"/>
      <c r="D3" s="40"/>
      <c r="E3" s="40"/>
      <c r="F3" s="40"/>
      <c r="G3" s="40"/>
      <c r="H3" s="332">
        <f>+Doklady!I101</f>
        <v>46053</v>
      </c>
      <c r="I3" s="332"/>
    </row>
    <row r="4" spans="1:11" ht="15.75" customHeight="1" x14ac:dyDescent="0.25">
      <c r="A4" s="41" t="s">
        <v>52</v>
      </c>
      <c r="B4" s="328" t="s">
        <v>53</v>
      </c>
      <c r="C4" s="329"/>
      <c r="D4" s="329"/>
      <c r="E4" s="33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54</v>
      </c>
      <c r="B7" s="10" t="s">
        <v>55</v>
      </c>
      <c r="C7" s="10" t="s">
        <v>56</v>
      </c>
      <c r="D7" s="10" t="s">
        <v>57</v>
      </c>
      <c r="E7" s="10" t="s">
        <v>58</v>
      </c>
      <c r="F7" s="10" t="s">
        <v>59</v>
      </c>
      <c r="G7" s="10" t="s">
        <v>60</v>
      </c>
      <c r="H7" s="11" t="s">
        <v>61</v>
      </c>
      <c r="I7" s="58" t="s">
        <v>62</v>
      </c>
      <c r="J7" s="44"/>
    </row>
    <row r="8" spans="1:11" ht="13.2" x14ac:dyDescent="0.25">
      <c r="A8" s="46" t="s">
        <v>63</v>
      </c>
      <c r="B8" s="47" t="s">
        <v>1488</v>
      </c>
      <c r="C8" s="47" t="s">
        <v>64</v>
      </c>
      <c r="D8" s="48">
        <v>46146</v>
      </c>
      <c r="E8" s="46" t="s">
        <v>65</v>
      </c>
      <c r="F8" s="46"/>
      <c r="G8" s="46" t="s">
        <v>66</v>
      </c>
      <c r="H8" s="49">
        <v>1350</v>
      </c>
      <c r="I8" s="55">
        <v>3</v>
      </c>
      <c r="J8" s="44"/>
    </row>
    <row r="9" spans="1:11" ht="13.2" x14ac:dyDescent="0.25">
      <c r="A9" s="46" t="s">
        <v>63</v>
      </c>
      <c r="B9" s="47" t="s">
        <v>1489</v>
      </c>
      <c r="C9" s="47" t="s">
        <v>67</v>
      </c>
      <c r="D9" s="48">
        <v>46147</v>
      </c>
      <c r="E9" s="46" t="s">
        <v>68</v>
      </c>
      <c r="F9" s="46"/>
      <c r="G9" s="46" t="s">
        <v>69</v>
      </c>
      <c r="H9" s="49">
        <v>100</v>
      </c>
      <c r="I9" s="55">
        <v>3</v>
      </c>
      <c r="J9" s="44"/>
    </row>
    <row r="10" spans="1:11" ht="13.2" x14ac:dyDescent="0.25">
      <c r="A10" s="46" t="s">
        <v>63</v>
      </c>
      <c r="B10" s="47" t="s">
        <v>1490</v>
      </c>
      <c r="C10" s="47" t="s">
        <v>70</v>
      </c>
      <c r="D10" s="48">
        <v>46148</v>
      </c>
      <c r="E10" s="46" t="s">
        <v>71</v>
      </c>
      <c r="F10" s="46"/>
      <c r="G10" s="46" t="s">
        <v>72</v>
      </c>
      <c r="H10" s="49">
        <v>50</v>
      </c>
      <c r="I10" s="55">
        <v>3</v>
      </c>
      <c r="J10" s="44"/>
    </row>
    <row r="11" spans="1:11" ht="13.2" x14ac:dyDescent="0.25">
      <c r="A11" s="46" t="s">
        <v>63</v>
      </c>
      <c r="B11" s="47" t="s">
        <v>1491</v>
      </c>
      <c r="C11" s="47" t="s">
        <v>73</v>
      </c>
      <c r="D11" s="48">
        <v>46149</v>
      </c>
      <c r="E11" s="46" t="s">
        <v>74</v>
      </c>
      <c r="F11" s="46"/>
      <c r="G11" s="46" t="s">
        <v>75</v>
      </c>
      <c r="H11" s="49">
        <v>200</v>
      </c>
      <c r="I11" s="55">
        <v>3</v>
      </c>
      <c r="J11" s="44"/>
    </row>
    <row r="12" spans="1:11" ht="13.2" x14ac:dyDescent="0.25">
      <c r="A12" s="46" t="s">
        <v>63</v>
      </c>
      <c r="B12" s="47" t="s">
        <v>1492</v>
      </c>
      <c r="C12" s="47" t="s">
        <v>76</v>
      </c>
      <c r="D12" s="48">
        <v>46150</v>
      </c>
      <c r="E12" s="46" t="s">
        <v>77</v>
      </c>
      <c r="F12" s="46"/>
      <c r="G12" s="46" t="s">
        <v>78</v>
      </c>
      <c r="H12" s="49">
        <v>180</v>
      </c>
      <c r="I12" s="55">
        <v>3</v>
      </c>
      <c r="J12" s="44"/>
    </row>
    <row r="13" spans="1:11" ht="13.2" x14ac:dyDescent="0.25">
      <c r="A13" s="46" t="s">
        <v>63</v>
      </c>
      <c r="B13" s="47" t="s">
        <v>1493</v>
      </c>
      <c r="C13" s="47" t="s">
        <v>79</v>
      </c>
      <c r="D13" s="48">
        <v>46151</v>
      </c>
      <c r="E13" s="46" t="s">
        <v>80</v>
      </c>
      <c r="F13" s="46"/>
      <c r="G13" s="46" t="s">
        <v>81</v>
      </c>
      <c r="H13" s="49">
        <v>505</v>
      </c>
      <c r="I13" s="55">
        <v>3</v>
      </c>
      <c r="J13" s="44"/>
    </row>
    <row r="14" spans="1:11" ht="13.2" x14ac:dyDescent="0.25">
      <c r="A14" s="46" t="s">
        <v>63</v>
      </c>
      <c r="B14" s="47" t="s">
        <v>1494</v>
      </c>
      <c r="C14" s="47" t="s">
        <v>82</v>
      </c>
      <c r="D14" s="48">
        <v>46152</v>
      </c>
      <c r="E14" s="46" t="s">
        <v>83</v>
      </c>
      <c r="F14" s="46"/>
      <c r="G14" s="46" t="s">
        <v>84</v>
      </c>
      <c r="H14" s="49">
        <v>4700</v>
      </c>
      <c r="I14" s="55">
        <v>2</v>
      </c>
      <c r="J14" s="44"/>
    </row>
    <row r="15" spans="1:11" ht="20.399999999999999" x14ac:dyDescent="0.25">
      <c r="A15" s="46" t="s">
        <v>63</v>
      </c>
      <c r="B15" s="47" t="s">
        <v>1495</v>
      </c>
      <c r="C15" s="47" t="s">
        <v>1529</v>
      </c>
      <c r="D15" s="48">
        <v>46153</v>
      </c>
      <c r="E15" s="46" t="s">
        <v>85</v>
      </c>
      <c r="F15" s="46"/>
      <c r="G15" s="46" t="s">
        <v>86</v>
      </c>
      <c r="H15" s="49">
        <v>3330</v>
      </c>
      <c r="I15" s="55">
        <v>2</v>
      </c>
      <c r="J15" s="44"/>
    </row>
    <row r="16" spans="1:11" ht="13.2" x14ac:dyDescent="0.25">
      <c r="A16" s="46" t="s">
        <v>63</v>
      </c>
      <c r="B16" s="47" t="s">
        <v>1496</v>
      </c>
      <c r="C16" s="47" t="s">
        <v>87</v>
      </c>
      <c r="D16" s="48">
        <v>46154</v>
      </c>
      <c r="E16" s="46" t="s">
        <v>88</v>
      </c>
      <c r="F16" s="46"/>
      <c r="G16" s="46" t="s">
        <v>89</v>
      </c>
      <c r="H16" s="49">
        <v>1000</v>
      </c>
      <c r="I16" s="55">
        <v>2</v>
      </c>
      <c r="J16" s="44"/>
    </row>
    <row r="17" spans="1:18" ht="13.2" x14ac:dyDescent="0.25">
      <c r="A17" s="46" t="s">
        <v>63</v>
      </c>
      <c r="B17" s="47" t="s">
        <v>1497</v>
      </c>
      <c r="C17" s="47" t="s">
        <v>90</v>
      </c>
      <c r="D17" s="48">
        <v>46155</v>
      </c>
      <c r="E17" s="46" t="s">
        <v>91</v>
      </c>
      <c r="F17" s="46"/>
      <c r="G17" s="46" t="s">
        <v>92</v>
      </c>
      <c r="H17" s="49">
        <v>300</v>
      </c>
      <c r="I17" s="55">
        <v>2</v>
      </c>
      <c r="J17" s="44"/>
    </row>
    <row r="18" spans="1:18" ht="13.2" x14ac:dyDescent="0.25">
      <c r="A18" s="46" t="s">
        <v>63</v>
      </c>
      <c r="B18" s="47" t="s">
        <v>1498</v>
      </c>
      <c r="C18" s="47" t="s">
        <v>93</v>
      </c>
      <c r="D18" s="48">
        <v>46156</v>
      </c>
      <c r="E18" s="46" t="s">
        <v>94</v>
      </c>
      <c r="F18" s="46"/>
      <c r="G18" s="46" t="s">
        <v>95</v>
      </c>
      <c r="H18" s="49">
        <v>600</v>
      </c>
      <c r="I18" s="55">
        <v>2</v>
      </c>
      <c r="J18" s="44"/>
    </row>
    <row r="19" spans="1:18" ht="20.399999999999999" x14ac:dyDescent="0.25">
      <c r="A19" s="46" t="s">
        <v>63</v>
      </c>
      <c r="B19" s="47" t="s">
        <v>1499</v>
      </c>
      <c r="C19" s="47" t="s">
        <v>96</v>
      </c>
      <c r="D19" s="48">
        <v>46157</v>
      </c>
      <c r="E19" s="46" t="s">
        <v>1535</v>
      </c>
      <c r="F19" s="46"/>
      <c r="G19" s="46" t="s">
        <v>97</v>
      </c>
      <c r="H19" s="49">
        <v>25.9</v>
      </c>
      <c r="I19" s="55">
        <v>2</v>
      </c>
      <c r="J19" s="44"/>
    </row>
    <row r="20" spans="1:18" ht="13.2" x14ac:dyDescent="0.25">
      <c r="A20" s="46" t="s">
        <v>63</v>
      </c>
      <c r="B20" s="47" t="s">
        <v>1500</v>
      </c>
      <c r="C20" s="47" t="s">
        <v>98</v>
      </c>
      <c r="D20" s="48">
        <v>46158</v>
      </c>
      <c r="E20" s="46" t="s">
        <v>99</v>
      </c>
      <c r="F20" s="46"/>
      <c r="G20" s="46" t="s">
        <v>100</v>
      </c>
      <c r="H20" s="49">
        <v>60</v>
      </c>
      <c r="I20" s="55">
        <v>2</v>
      </c>
      <c r="J20" s="44"/>
    </row>
    <row r="21" spans="1:18" ht="20.399999999999999"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6"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2"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2"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3.2"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3.2" x14ac:dyDescent="0.25">
      <c r="A26" s="46" t="s">
        <v>63</v>
      </c>
      <c r="B26" s="50">
        <v>46357</v>
      </c>
      <c r="C26" s="47" t="s">
        <v>106</v>
      </c>
      <c r="D26" s="48">
        <v>46165</v>
      </c>
      <c r="E26" s="46" t="s">
        <v>1539</v>
      </c>
      <c r="F26" s="46"/>
      <c r="G26" s="46" t="s">
        <v>112</v>
      </c>
      <c r="H26" s="49">
        <v>50</v>
      </c>
      <c r="I26" s="55">
        <v>4</v>
      </c>
      <c r="J26" s="44"/>
      <c r="O26" s="44"/>
      <c r="P26" s="44"/>
      <c r="Q26" s="44"/>
      <c r="R26" s="44"/>
    </row>
    <row r="27" spans="1:18" ht="13.2" x14ac:dyDescent="0.25">
      <c r="A27" s="46" t="s">
        <v>63</v>
      </c>
      <c r="B27" s="47" t="s">
        <v>1504</v>
      </c>
      <c r="C27" s="47" t="s">
        <v>113</v>
      </c>
      <c r="D27" s="48">
        <v>46166</v>
      </c>
      <c r="E27" s="46" t="s">
        <v>114</v>
      </c>
      <c r="F27" s="46"/>
      <c r="G27" s="46" t="s">
        <v>115</v>
      </c>
      <c r="H27" s="49">
        <v>9</v>
      </c>
      <c r="I27" s="55">
        <v>4</v>
      </c>
      <c r="J27" s="44"/>
      <c r="O27" s="44"/>
      <c r="P27" s="44"/>
      <c r="Q27" s="44"/>
      <c r="R27" s="44"/>
    </row>
    <row r="28" spans="1:18" ht="20.399999999999999" x14ac:dyDescent="0.25">
      <c r="A28" s="46" t="s">
        <v>63</v>
      </c>
      <c r="B28" s="50">
        <v>46143</v>
      </c>
      <c r="C28" s="47" t="s">
        <v>116</v>
      </c>
      <c r="D28" s="48">
        <v>46167</v>
      </c>
      <c r="E28" s="46" t="s">
        <v>1540</v>
      </c>
      <c r="F28" s="46"/>
      <c r="G28" s="46" t="s">
        <v>117</v>
      </c>
      <c r="H28" s="49">
        <v>10</v>
      </c>
      <c r="I28" s="55">
        <v>4</v>
      </c>
      <c r="J28" s="44"/>
      <c r="O28" s="44"/>
      <c r="P28" s="44"/>
      <c r="Q28" s="44"/>
      <c r="R28" s="44"/>
    </row>
    <row r="29" spans="1:18" ht="13.2" x14ac:dyDescent="0.25">
      <c r="A29" s="46" t="s">
        <v>63</v>
      </c>
      <c r="B29" s="47" t="s">
        <v>118</v>
      </c>
      <c r="C29" s="47" t="s">
        <v>119</v>
      </c>
      <c r="D29" s="48">
        <v>46168</v>
      </c>
      <c r="E29" s="46" t="s">
        <v>1541</v>
      </c>
      <c r="F29" s="46"/>
      <c r="G29" s="46" t="s">
        <v>120</v>
      </c>
      <c r="H29" s="49">
        <v>500</v>
      </c>
      <c r="I29" s="55">
        <v>1</v>
      </c>
      <c r="J29" s="44"/>
      <c r="O29" s="44"/>
      <c r="P29" s="44"/>
      <c r="Q29" s="44"/>
      <c r="R29" s="44"/>
    </row>
    <row r="30" spans="1:18" ht="13.2" x14ac:dyDescent="0.25">
      <c r="A30" s="46" t="s">
        <v>63</v>
      </c>
      <c r="B30" s="47" t="s">
        <v>1505</v>
      </c>
      <c r="C30" s="47" t="s">
        <v>121</v>
      </c>
      <c r="D30" s="48">
        <v>46169</v>
      </c>
      <c r="E30" s="46" t="s">
        <v>122</v>
      </c>
      <c r="F30" s="46"/>
      <c r="G30" s="46" t="s">
        <v>123</v>
      </c>
      <c r="H30" s="49">
        <v>71.2</v>
      </c>
      <c r="I30" s="55">
        <v>3</v>
      </c>
      <c r="J30" s="44"/>
      <c r="O30" s="44"/>
      <c r="P30" s="44"/>
      <c r="Q30" s="44"/>
      <c r="R30" s="44"/>
    </row>
    <row r="31" spans="1:18" ht="51" x14ac:dyDescent="0.25">
      <c r="A31" s="46" t="s">
        <v>63</v>
      </c>
      <c r="B31" s="47" t="s">
        <v>1506</v>
      </c>
      <c r="C31" s="47" t="s">
        <v>1530</v>
      </c>
      <c r="D31" s="48">
        <v>46170</v>
      </c>
      <c r="E31" s="46" t="s">
        <v>1542</v>
      </c>
      <c r="F31" s="46"/>
      <c r="G31" s="46" t="s">
        <v>124</v>
      </c>
      <c r="H31" s="49">
        <v>250</v>
      </c>
      <c r="I31" s="55">
        <v>1</v>
      </c>
      <c r="J31" s="44"/>
    </row>
    <row r="32" spans="1:18" ht="13.2" x14ac:dyDescent="0.25">
      <c r="A32" s="46" t="s">
        <v>63</v>
      </c>
      <c r="B32" s="47" t="s">
        <v>1507</v>
      </c>
      <c r="C32" s="47" t="s">
        <v>125</v>
      </c>
      <c r="D32" s="48">
        <v>46171</v>
      </c>
      <c r="E32" s="46" t="s">
        <v>126</v>
      </c>
      <c r="F32" s="46"/>
      <c r="G32" s="46" t="s">
        <v>127</v>
      </c>
      <c r="H32" s="49">
        <v>320</v>
      </c>
      <c r="I32" s="55">
        <v>5</v>
      </c>
      <c r="J32" s="44"/>
    </row>
    <row r="33" spans="1:18" ht="13.2" x14ac:dyDescent="0.25">
      <c r="A33" s="46" t="s">
        <v>63</v>
      </c>
      <c r="B33" s="47" t="s">
        <v>1508</v>
      </c>
      <c r="C33" s="47" t="s">
        <v>128</v>
      </c>
      <c r="D33" s="48">
        <v>46172</v>
      </c>
      <c r="E33" s="46" t="s">
        <v>1543</v>
      </c>
      <c r="F33" s="46"/>
      <c r="G33" s="46" t="s">
        <v>129</v>
      </c>
      <c r="H33" s="49">
        <v>40</v>
      </c>
      <c r="I33" s="55">
        <v>4</v>
      </c>
      <c r="J33" s="44"/>
    </row>
    <row r="34" spans="1:18" ht="13.2" x14ac:dyDescent="0.25">
      <c r="A34" s="46" t="s">
        <v>63</v>
      </c>
      <c r="B34" s="50">
        <v>46023</v>
      </c>
      <c r="C34" s="47" t="s">
        <v>1531</v>
      </c>
      <c r="D34" s="48">
        <v>46173</v>
      </c>
      <c r="E34" s="46" t="s">
        <v>130</v>
      </c>
      <c r="F34" s="46"/>
      <c r="G34" s="46" t="s">
        <v>131</v>
      </c>
      <c r="H34" s="49">
        <v>25</v>
      </c>
      <c r="I34" s="55">
        <v>4</v>
      </c>
      <c r="J34" s="44"/>
    </row>
    <row r="35" spans="1:18" ht="13.2" x14ac:dyDescent="0.25">
      <c r="A35" s="46" t="s">
        <v>63</v>
      </c>
      <c r="B35" s="50">
        <v>46082</v>
      </c>
      <c r="C35" s="47" t="s">
        <v>132</v>
      </c>
      <c r="D35" s="48">
        <v>46174</v>
      </c>
      <c r="E35" s="46" t="s">
        <v>1544</v>
      </c>
      <c r="F35" s="46"/>
      <c r="G35" s="46" t="s">
        <v>133</v>
      </c>
      <c r="H35" s="49">
        <v>150</v>
      </c>
      <c r="I35" s="55">
        <v>4</v>
      </c>
      <c r="J35" s="44"/>
    </row>
    <row r="36" spans="1:18" ht="13.2"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799999999999997"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399999999999999"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399999999999999"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799999999999997"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399999999999999"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399999999999999"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399999999999999"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799999999999997"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399999999999999"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399999999999999"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799999999999997"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799999999999997"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0.6"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1" priority="2" stopIfTrue="1">
      <formula>$A8&lt;&gt;""</formula>
    </cfRule>
  </conditionalFormatting>
  <conditionalFormatting sqref="B68:C68 B69:H2878">
    <cfRule type="expression" dxfId="100" priority="3" stopIfTrue="1">
      <formula>$A68&lt;&gt;""</formula>
    </cfRule>
  </conditionalFormatting>
  <conditionalFormatting sqref="D2876:D2903">
    <cfRule type="expression" dxfId="99"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36" t="s">
        <v>1561</v>
      </c>
      <c r="B1" s="337"/>
      <c r="C1" s="166">
        <v>46234</v>
      </c>
      <c r="D1" s="26"/>
      <c r="G1" s="244">
        <v>46053</v>
      </c>
    </row>
    <row r="2" spans="1:7" ht="13.8" x14ac:dyDescent="0.25">
      <c r="A2" s="28"/>
      <c r="B2" s="28"/>
      <c r="G2" s="244">
        <v>46081</v>
      </c>
    </row>
    <row r="3" spans="1:7" ht="13.8" x14ac:dyDescent="0.25">
      <c r="A3" s="30" t="s">
        <v>214</v>
      </c>
      <c r="B3" s="334" t="str">
        <f>INDEX(Adr!B:B,Doklady!B102+1)</f>
        <v>Slovenský zväz moderného päťboja</v>
      </c>
      <c r="C3" s="334"/>
      <c r="D3" s="334"/>
      <c r="G3" s="244">
        <v>46112</v>
      </c>
    </row>
    <row r="4" spans="1:7" ht="13.8" x14ac:dyDescent="0.25">
      <c r="A4" s="30" t="s">
        <v>215</v>
      </c>
      <c r="B4" s="29" t="str">
        <f>RIGHT("0000"&amp;INDEX(Adr!A:A,Doklady!B102+1),8)</f>
        <v>30788714</v>
      </c>
      <c r="G4" s="244">
        <v>46142</v>
      </c>
    </row>
    <row r="5" spans="1:7" ht="13.8" x14ac:dyDescent="0.25">
      <c r="A5" s="30" t="s">
        <v>216</v>
      </c>
      <c r="B5" s="29" t="str">
        <f>INDEX(Adr!D:D,Doklady!B102+1)&amp;", "&amp;INDEX(Adr!E:E,Doklady!B102+1)</f>
        <v>Olympijské námestie 14290/1, Bratislava</v>
      </c>
      <c r="G5" s="244">
        <v>46173</v>
      </c>
    </row>
    <row r="6" spans="1:7" ht="13.8" x14ac:dyDescent="0.25">
      <c r="A6" s="30"/>
      <c r="G6" s="244">
        <v>46203</v>
      </c>
    </row>
    <row r="7" spans="1:7" ht="13.8" x14ac:dyDescent="0.25">
      <c r="G7" s="244">
        <v>46234</v>
      </c>
    </row>
    <row r="8" spans="1:7" ht="13.8" x14ac:dyDescent="0.25">
      <c r="G8" s="244">
        <v>46265</v>
      </c>
    </row>
    <row r="9" spans="1:7" ht="20.399999999999999" x14ac:dyDescent="0.25">
      <c r="A9" s="31" t="s">
        <v>217</v>
      </c>
      <c r="B9" s="31" t="s">
        <v>217</v>
      </c>
      <c r="C9" s="32" t="s">
        <v>218</v>
      </c>
      <c r="G9" s="244">
        <v>46295</v>
      </c>
    </row>
    <row r="10" spans="1:7" ht="13.8" x14ac:dyDescent="0.25">
      <c r="A10" s="133" t="s">
        <v>219</v>
      </c>
      <c r="B10" s="134" t="s">
        <v>220</v>
      </c>
      <c r="C10" s="167">
        <f>+Spolu!C10</f>
        <v>0</v>
      </c>
      <c r="G10" s="244">
        <v>46326</v>
      </c>
    </row>
    <row r="11" spans="1:7" ht="13.8" x14ac:dyDescent="0.25">
      <c r="A11" s="133" t="s">
        <v>221</v>
      </c>
      <c r="B11" s="134" t="s">
        <v>222</v>
      </c>
      <c r="C11" s="167">
        <f>+Spolu!C11</f>
        <v>121229</v>
      </c>
      <c r="G11" s="244">
        <v>46356</v>
      </c>
    </row>
    <row r="12" spans="1:7" ht="13.8" x14ac:dyDescent="0.25">
      <c r="A12" s="133" t="s">
        <v>223</v>
      </c>
      <c r="B12" s="134" t="s">
        <v>224</v>
      </c>
      <c r="C12" s="167">
        <f>+Spolu!C12</f>
        <v>0</v>
      </c>
      <c r="G12" s="244">
        <v>46387</v>
      </c>
    </row>
    <row r="13" spans="1:7" ht="13.8" x14ac:dyDescent="0.25">
      <c r="A13" s="133" t="s">
        <v>225</v>
      </c>
      <c r="B13" s="134" t="s">
        <v>226</v>
      </c>
      <c r="C13" s="167">
        <f>+Spolu!C13</f>
        <v>0</v>
      </c>
      <c r="G13" s="244"/>
    </row>
    <row r="14" spans="1:7" ht="13.8" x14ac:dyDescent="0.25">
      <c r="A14" s="133" t="s">
        <v>227</v>
      </c>
      <c r="B14" s="134" t="s">
        <v>228</v>
      </c>
      <c r="C14" s="167">
        <f>+Spolu!C14</f>
        <v>0</v>
      </c>
      <c r="G14" s="244"/>
    </row>
    <row r="15" spans="1:7" ht="13.8" x14ac:dyDescent="0.25">
      <c r="A15" s="33" t="s">
        <v>229</v>
      </c>
      <c r="B15" s="132"/>
      <c r="C15" s="34">
        <f>SUM(C10:C14)</f>
        <v>121229</v>
      </c>
      <c r="G15" s="244"/>
    </row>
    <row r="16" spans="1:7" ht="13.8" x14ac:dyDescent="0.25">
      <c r="G16" s="244"/>
    </row>
    <row r="17" spans="1:5" ht="72" customHeight="1" x14ac:dyDescent="0.25">
      <c r="A17" s="335" t="s">
        <v>230</v>
      </c>
      <c r="B17" s="335"/>
      <c r="C17" s="335"/>
      <c r="D17" s="33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6" t="str">
        <f>Doklady!A100</f>
        <v>Priebežné čerpanie a vyúčtovanie finančných prostriedkov poskytnutých zo štátneho rozpočtu v oblasti športu v roku 2026</v>
      </c>
      <c r="B1" s="346"/>
      <c r="C1" s="346"/>
      <c r="D1" s="346"/>
      <c r="E1" s="346"/>
      <c r="F1" s="346"/>
      <c r="G1" s="346"/>
      <c r="H1" s="346"/>
      <c r="I1" s="346"/>
    </row>
    <row r="2" spans="1:26" ht="7.5" customHeight="1" x14ac:dyDescent="0.2">
      <c r="C2" s="8"/>
      <c r="D2" s="8"/>
      <c r="E2" s="8"/>
      <c r="F2" s="8"/>
      <c r="G2" s="8"/>
      <c r="H2" s="8"/>
      <c r="I2" s="8"/>
    </row>
    <row r="3" spans="1:26" s="9" customFormat="1" ht="26.1" customHeight="1" x14ac:dyDescent="0.25">
      <c r="B3" s="152" t="s">
        <v>52</v>
      </c>
      <c r="C3" s="347" t="str">
        <f>INDEX(Adr!B2:B242,Doklady!B102)</f>
        <v>Slovenský zväz moderného päťboja</v>
      </c>
      <c r="D3" s="347"/>
      <c r="E3" s="347"/>
      <c r="F3" s="347"/>
      <c r="G3" s="207"/>
      <c r="H3" s="207"/>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215</v>
      </c>
      <c r="C4" s="66" t="str">
        <f>INDEX(Adr!A2:A242,Doklady!B102)</f>
        <v>30788714</v>
      </c>
      <c r="I4" s="65">
        <f>Doklady!I101</f>
        <v>46053</v>
      </c>
      <c r="J4" s="85"/>
      <c r="K4" s="85"/>
      <c r="L4" s="85"/>
      <c r="M4" s="85"/>
      <c r="N4" s="85"/>
      <c r="O4" s="85"/>
      <c r="P4" s="85"/>
      <c r="Q4" s="85"/>
      <c r="R4" s="85"/>
      <c r="S4" s="85"/>
      <c r="T4" s="85"/>
      <c r="U4" s="85"/>
      <c r="V4" s="85"/>
      <c r="W4" s="85"/>
      <c r="X4" s="85"/>
      <c r="Y4" s="85"/>
      <c r="Z4" s="85"/>
    </row>
    <row r="5" spans="1:26" s="9" customFormat="1" ht="13.2" x14ac:dyDescent="0.2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48" t="s">
        <v>235</v>
      </c>
      <c r="F9" s="349"/>
      <c r="J9" s="8"/>
      <c r="L9" s="118"/>
      <c r="M9" s="118"/>
      <c r="N9" s="118"/>
      <c r="O9" s="118"/>
      <c r="P9" s="118"/>
      <c r="Q9" s="118"/>
      <c r="R9" s="118"/>
      <c r="S9" s="118"/>
    </row>
    <row r="10" spans="1:26" ht="17.399999999999999" x14ac:dyDescent="0.3">
      <c r="A10" s="69" t="s">
        <v>219</v>
      </c>
      <c r="B10" s="70" t="s">
        <v>220</v>
      </c>
      <c r="C10" s="126">
        <f>SUMIF(FP!J:J,Doklady!$B$1&amp;A10,FP!D:D)</f>
        <v>0</v>
      </c>
      <c r="D10" s="126">
        <f>C10-E10</f>
        <v>0</v>
      </c>
      <c r="E10" s="339">
        <f>SUMIF(K:K,A10,I:I)</f>
        <v>0</v>
      </c>
      <c r="F10" s="340"/>
      <c r="L10" s="120" t="s">
        <v>236</v>
      </c>
      <c r="M10" s="118"/>
      <c r="N10" s="118"/>
      <c r="O10" s="118"/>
      <c r="P10" s="118"/>
      <c r="Q10" s="118"/>
      <c r="R10" s="118"/>
      <c r="S10" s="118"/>
    </row>
    <row r="11" spans="1:26" ht="17.399999999999999" x14ac:dyDescent="0.3">
      <c r="A11" s="69" t="s">
        <v>221</v>
      </c>
      <c r="B11" s="70" t="s">
        <v>222</v>
      </c>
      <c r="C11" s="126">
        <f>SUMIF(FP!J:J,Doklady!$B$1&amp;A11,FP!D:D)</f>
        <v>121229</v>
      </c>
      <c r="D11" s="126">
        <f>+C11-E11</f>
        <v>71965.740000000034</v>
      </c>
      <c r="E11" s="350">
        <f>+I39-I42+I44-I47</f>
        <v>49263.259999999966</v>
      </c>
      <c r="F11" s="351"/>
      <c r="J11" s="168"/>
      <c r="L11" s="153" t="str">
        <f>L41</f>
        <v>a - moderný päťboj - bežné transfery</v>
      </c>
      <c r="M11" s="118"/>
      <c r="N11" s="118"/>
      <c r="O11" s="118"/>
      <c r="P11" s="118"/>
      <c r="Q11" s="118"/>
      <c r="R11" s="118"/>
      <c r="S11" s="118"/>
    </row>
    <row r="12" spans="1:26" ht="17.399999999999999" x14ac:dyDescent="0.3">
      <c r="A12" s="69" t="s">
        <v>223</v>
      </c>
      <c r="B12" s="70" t="s">
        <v>224</v>
      </c>
      <c r="C12" s="126">
        <f>SUMIF(FP!J:J,Doklady!$B$1&amp;A12,FP!D:D)</f>
        <v>0</v>
      </c>
      <c r="D12" s="126">
        <f>C12-E12</f>
        <v>0</v>
      </c>
      <c r="E12" s="339">
        <f>SUMIF(K:K,A12,I:I)</f>
        <v>0</v>
      </c>
      <c r="F12" s="340"/>
      <c r="J12" s="169"/>
      <c r="L12" s="153" t="str">
        <f>L42</f>
        <v>a - moderný päťboj - kapitálové transfery</v>
      </c>
      <c r="N12" s="118"/>
      <c r="O12" s="118"/>
      <c r="P12" s="118"/>
      <c r="Q12" s="118"/>
      <c r="R12" s="118"/>
      <c r="S12" s="118"/>
    </row>
    <row r="13" spans="1:26" ht="17.399999999999999" x14ac:dyDescent="0.3">
      <c r="A13" s="69" t="s">
        <v>225</v>
      </c>
      <c r="B13" s="70" t="s">
        <v>226</v>
      </c>
      <c r="C13" s="126">
        <f>SUMIF(FP!J:J,Doklady!$B$1&amp;A13,FP!D:D)</f>
        <v>0</v>
      </c>
      <c r="D13" s="126">
        <f>C13-E13</f>
        <v>0</v>
      </c>
      <c r="E13" s="339">
        <f>SUMIF(K:K,A13,I:I)</f>
        <v>0</v>
      </c>
      <c r="F13" s="340"/>
      <c r="J13" s="8"/>
      <c r="L13" s="153">
        <f>L46</f>
        <v>2</v>
      </c>
      <c r="N13" s="118"/>
      <c r="O13" s="118"/>
      <c r="P13" s="118"/>
      <c r="Q13" s="118"/>
      <c r="R13" s="118"/>
      <c r="S13" s="118"/>
    </row>
    <row r="14" spans="1:26" ht="18" thickBot="1" x14ac:dyDescent="0.35">
      <c r="A14" s="69" t="s">
        <v>227</v>
      </c>
      <c r="B14" s="70" t="s">
        <v>228</v>
      </c>
      <c r="C14" s="126">
        <f>SUMIF(FP!J:J,Doklady!$B$1&amp;A14,FP!D:D)</f>
        <v>0</v>
      </c>
      <c r="D14" s="126">
        <f>C14-E14</f>
        <v>0</v>
      </c>
      <c r="E14" s="352">
        <f>SUMIF(K:K,A14,I:I)</f>
        <v>0</v>
      </c>
      <c r="F14" s="353"/>
      <c r="J14" s="8"/>
      <c r="L14" s="153" t="str">
        <f>L47</f>
        <v>2</v>
      </c>
      <c r="N14" s="118"/>
      <c r="O14" s="118"/>
      <c r="P14" s="118"/>
      <c r="Q14" s="118"/>
      <c r="R14" s="118"/>
      <c r="S14" s="118"/>
    </row>
    <row r="15" spans="1:26" ht="5.25" customHeight="1" thickTop="1" x14ac:dyDescent="0.25">
      <c r="I15" s="9"/>
    </row>
    <row r="16" spans="1:26" s="9" customFormat="1" ht="13.2" x14ac:dyDescent="0.25">
      <c r="A16" s="117" t="s">
        <v>237</v>
      </c>
      <c r="B16" s="359" t="s">
        <v>238</v>
      </c>
      <c r="C16" s="360"/>
      <c r="D16" s="360"/>
      <c r="E16" s="360"/>
      <c r="F16" s="360"/>
      <c r="G16" s="360"/>
      <c r="H16" s="361"/>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4" t="s">
        <v>241</v>
      </c>
      <c r="C17" s="354"/>
      <c r="D17" s="354"/>
      <c r="E17" s="354"/>
      <c r="F17" s="354"/>
      <c r="G17" s="354"/>
      <c r="H17" s="354"/>
      <c r="I17" s="73">
        <f>SUMIF(FP!I:I,Doklady!$B$1&amp;A17,FP!D:D)</f>
        <v>121229</v>
      </c>
      <c r="T17" s="86"/>
    </row>
    <row r="18" spans="1:20" x14ac:dyDescent="0.2">
      <c r="A18" s="135" t="s">
        <v>242</v>
      </c>
      <c r="B18" s="354" t="s">
        <v>243</v>
      </c>
      <c r="C18" s="354"/>
      <c r="D18" s="354"/>
      <c r="E18" s="354"/>
      <c r="F18" s="354"/>
      <c r="G18" s="354"/>
      <c r="H18" s="354"/>
      <c r="I18" s="73">
        <f>SUMIF(FP!I:I,Doklady!$B$1&amp;A18,FP!D:D)</f>
        <v>0</v>
      </c>
    </row>
    <row r="19" spans="1:20" x14ac:dyDescent="0.2">
      <c r="A19" s="115" t="s">
        <v>244</v>
      </c>
      <c r="B19" s="354" t="s">
        <v>245</v>
      </c>
      <c r="C19" s="354"/>
      <c r="D19" s="354"/>
      <c r="E19" s="354"/>
      <c r="F19" s="354"/>
      <c r="G19" s="354"/>
      <c r="H19" s="354"/>
      <c r="I19" s="73">
        <f>SUMIF(FP!I:I,Doklady!$B$1&amp;A19,FP!D:D)</f>
        <v>0</v>
      </c>
    </row>
    <row r="20" spans="1:20" x14ac:dyDescent="0.2">
      <c r="A20" s="135" t="s">
        <v>246</v>
      </c>
      <c r="B20" s="343" t="s">
        <v>247</v>
      </c>
      <c r="C20" s="344"/>
      <c r="D20" s="344"/>
      <c r="E20" s="344"/>
      <c r="F20" s="344"/>
      <c r="G20" s="344"/>
      <c r="H20" s="345"/>
      <c r="I20" s="73">
        <f>SUMIF(FP!I:I,Doklady!$B$1&amp;A20,FP!D:D)</f>
        <v>0</v>
      </c>
      <c r="T20" s="86"/>
    </row>
    <row r="21" spans="1:20" x14ac:dyDescent="0.2">
      <c r="A21" s="115" t="s">
        <v>248</v>
      </c>
      <c r="B21" s="343" t="s">
        <v>249</v>
      </c>
      <c r="C21" s="344"/>
      <c r="D21" s="344"/>
      <c r="E21" s="344"/>
      <c r="F21" s="344"/>
      <c r="G21" s="344"/>
      <c r="H21" s="345"/>
      <c r="I21" s="73">
        <f>SUMIF(FP!I:I,Doklady!$B$1&amp;A21,FP!D:D)</f>
        <v>0</v>
      </c>
      <c r="T21" s="86"/>
    </row>
    <row r="22" spans="1:20" x14ac:dyDescent="0.2">
      <c r="A22" s="135" t="s">
        <v>250</v>
      </c>
      <c r="B22" s="362" t="s">
        <v>251</v>
      </c>
      <c r="C22" s="363"/>
      <c r="D22" s="363"/>
      <c r="E22" s="363"/>
      <c r="F22" s="363"/>
      <c r="G22" s="363"/>
      <c r="H22" s="364"/>
      <c r="I22" s="73">
        <f>SUMIF(FP!I:I,Doklady!$B$1&amp;A22,FP!D:D)</f>
        <v>0</v>
      </c>
      <c r="T22" s="86"/>
    </row>
    <row r="23" spans="1:20" x14ac:dyDescent="0.2">
      <c r="A23" s="115" t="s">
        <v>252</v>
      </c>
      <c r="B23" s="343" t="s">
        <v>253</v>
      </c>
      <c r="C23" s="344"/>
      <c r="D23" s="344"/>
      <c r="E23" s="344"/>
      <c r="F23" s="344"/>
      <c r="G23" s="344"/>
      <c r="H23" s="345"/>
      <c r="I23" s="73">
        <f>SUMIF(FP!I:I,Doklady!$B$1&amp;A23,FP!D:D)</f>
        <v>0</v>
      </c>
      <c r="T23" s="86"/>
    </row>
    <row r="24" spans="1:20" x14ac:dyDescent="0.2">
      <c r="A24" s="135" t="s">
        <v>254</v>
      </c>
      <c r="B24" s="343" t="s">
        <v>255</v>
      </c>
      <c r="C24" s="344"/>
      <c r="D24" s="344"/>
      <c r="E24" s="344"/>
      <c r="F24" s="344"/>
      <c r="G24" s="344"/>
      <c r="H24" s="345"/>
      <c r="I24" s="73">
        <f>SUMIF(FP!I:I,Doklady!$B$1&amp;A24,FP!D:D)</f>
        <v>0</v>
      </c>
      <c r="T24" s="86"/>
    </row>
    <row r="25" spans="1:20" x14ac:dyDescent="0.2">
      <c r="A25" s="115" t="s">
        <v>256</v>
      </c>
      <c r="B25" s="355" t="s">
        <v>1464</v>
      </c>
      <c r="C25" s="356"/>
      <c r="D25" s="356"/>
      <c r="E25" s="356"/>
      <c r="F25" s="356"/>
      <c r="G25" s="356"/>
      <c r="H25" s="357"/>
      <c r="I25" s="73">
        <f>SUMIF(FP!I:I,Doklady!$B$1&amp;A25,FP!D:D)</f>
        <v>0</v>
      </c>
      <c r="T25" s="86"/>
    </row>
    <row r="26" spans="1:20" x14ac:dyDescent="0.2">
      <c r="A26" s="135" t="s">
        <v>257</v>
      </c>
      <c r="B26" s="343" t="s">
        <v>258</v>
      </c>
      <c r="C26" s="344"/>
      <c r="D26" s="344"/>
      <c r="E26" s="344"/>
      <c r="F26" s="344"/>
      <c r="G26" s="344"/>
      <c r="H26" s="345"/>
      <c r="I26" s="73">
        <f>SUMIF(FP!I:I,Doklady!$B$1&amp;A26,FP!D:D)</f>
        <v>0</v>
      </c>
      <c r="T26" s="86"/>
    </row>
    <row r="27" spans="1:20" x14ac:dyDescent="0.2">
      <c r="A27" s="115" t="s">
        <v>259</v>
      </c>
      <c r="B27" s="343" t="s">
        <v>260</v>
      </c>
      <c r="C27" s="344"/>
      <c r="D27" s="344"/>
      <c r="E27" s="344"/>
      <c r="F27" s="344"/>
      <c r="G27" s="344"/>
      <c r="H27" s="345"/>
      <c r="I27" s="73">
        <f>SUMIF(FP!I:I,Doklady!$B$1&amp;A27,FP!D:D)</f>
        <v>0</v>
      </c>
      <c r="T27" s="86"/>
    </row>
    <row r="28" spans="1:20" x14ac:dyDescent="0.2">
      <c r="A28" s="135" t="s">
        <v>261</v>
      </c>
      <c r="B28" s="343" t="s">
        <v>1476</v>
      </c>
      <c r="C28" s="344"/>
      <c r="D28" s="344"/>
      <c r="E28" s="344"/>
      <c r="F28" s="344"/>
      <c r="G28" s="344"/>
      <c r="H28" s="345"/>
      <c r="I28" s="73">
        <f>SUMIF(FP!I:I,Doklady!$B$1&amp;A28,FP!D:D)</f>
        <v>0</v>
      </c>
      <c r="T28" s="86"/>
    </row>
    <row r="29" spans="1:20" x14ac:dyDescent="0.2">
      <c r="A29" s="115" t="s">
        <v>263</v>
      </c>
      <c r="B29" s="343" t="s">
        <v>264</v>
      </c>
      <c r="C29" s="344"/>
      <c r="D29" s="344"/>
      <c r="E29" s="344"/>
      <c r="F29" s="344"/>
      <c r="G29" s="344"/>
      <c r="H29" s="345"/>
      <c r="I29" s="73">
        <f>SUMIF(FP!I:I,Doklady!$B$1&amp;A29,FP!D:D)</f>
        <v>0</v>
      </c>
      <c r="T29" s="86"/>
    </row>
    <row r="30" spans="1:20" hidden="1" x14ac:dyDescent="0.2">
      <c r="A30" s="135" t="s">
        <v>265</v>
      </c>
      <c r="B30" s="343"/>
      <c r="C30" s="344"/>
      <c r="D30" s="344"/>
      <c r="E30" s="344"/>
      <c r="F30" s="344"/>
      <c r="G30" s="344"/>
      <c r="H30" s="345"/>
      <c r="I30" s="73">
        <f>SUMIF(FP!I:I,Doklady!$B$1&amp;A30,FP!D:D)</f>
        <v>0</v>
      </c>
      <c r="T30" s="86"/>
    </row>
    <row r="31" spans="1:20" hidden="1" x14ac:dyDescent="0.2">
      <c r="A31" s="115" t="s">
        <v>266</v>
      </c>
      <c r="B31" s="343"/>
      <c r="C31" s="344"/>
      <c r="D31" s="344"/>
      <c r="E31" s="344"/>
      <c r="F31" s="344"/>
      <c r="G31" s="344"/>
      <c r="H31" s="345"/>
      <c r="I31" s="73">
        <f>SUMIF(FP!I:I,Doklady!$B$1&amp;A31,FP!D:D)</f>
        <v>0</v>
      </c>
      <c r="T31" s="86"/>
    </row>
    <row r="32" spans="1:20" hidden="1" x14ac:dyDescent="0.2">
      <c r="A32" s="135" t="s">
        <v>267</v>
      </c>
      <c r="B32" s="365"/>
      <c r="C32" s="366"/>
      <c r="D32" s="366"/>
      <c r="E32" s="366"/>
      <c r="F32" s="366"/>
      <c r="G32" s="366"/>
      <c r="H32" s="367"/>
      <c r="I32" s="73">
        <f>SUMIF(FP!I:I,Doklady!$B$1&amp;A32,FP!D:D)</f>
        <v>0</v>
      </c>
      <c r="T32" s="86"/>
    </row>
    <row r="33" spans="1:21" hidden="1" x14ac:dyDescent="0.2">
      <c r="A33" s="115" t="s">
        <v>268</v>
      </c>
      <c r="B33" s="365"/>
      <c r="C33" s="366"/>
      <c r="D33" s="366"/>
      <c r="E33" s="366"/>
      <c r="F33" s="366"/>
      <c r="G33" s="366"/>
      <c r="H33" s="367"/>
      <c r="I33" s="73">
        <f>SUMIF(FP!I:I,Doklady!$B$1&amp;A33,FP!D:D)</f>
        <v>0</v>
      </c>
      <c r="T33" s="86"/>
    </row>
    <row r="34" spans="1:21" hidden="1" x14ac:dyDescent="0.2">
      <c r="A34" s="135" t="s">
        <v>269</v>
      </c>
      <c r="B34" s="368"/>
      <c r="C34" s="368"/>
      <c r="D34" s="368"/>
      <c r="E34" s="368"/>
      <c r="F34" s="368"/>
      <c r="G34" s="368"/>
      <c r="H34" s="368"/>
      <c r="I34" s="73">
        <f>SUMIF(FP!I:I,Doklady!$B$1&amp;A34,FP!D:D)</f>
        <v>0</v>
      </c>
      <c r="J34" s="8"/>
      <c r="K34" s="8"/>
    </row>
    <row r="36" spans="1:21" ht="13.2" x14ac:dyDescent="0.25">
      <c r="A36" s="121" t="s">
        <v>270</v>
      </c>
      <c r="B36" s="121"/>
      <c r="C36" s="212">
        <v>1</v>
      </c>
      <c r="D36" s="212">
        <v>2</v>
      </c>
      <c r="E36" s="212">
        <v>3</v>
      </c>
      <c r="F36" s="212">
        <v>4</v>
      </c>
      <c r="G36" s="212">
        <v>5</v>
      </c>
      <c r="H36" s="212">
        <v>5</v>
      </c>
      <c r="I36" s="122"/>
    </row>
    <row r="37" spans="1:21" ht="3.75" customHeight="1" x14ac:dyDescent="0.2"/>
    <row r="38" spans="1:21" ht="20.399999999999999" x14ac:dyDescent="0.2">
      <c r="A38" s="67" t="s">
        <v>237</v>
      </c>
      <c r="B38" s="67" t="str">
        <f>"Šport "&amp;K40</f>
        <v>Šport moderný päťboj</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24245.800000000003</v>
      </c>
      <c r="D39" s="78">
        <f>I39*0.2</f>
        <v>24245.800000000003</v>
      </c>
      <c r="E39" s="78">
        <f>I39*0.25</f>
        <v>30307.25</v>
      </c>
      <c r="F39" s="78">
        <f>+I39*0.15</f>
        <v>18184.349999999999</v>
      </c>
      <c r="G39" s="78">
        <f>+MAX(I39-C39-D39-E39-F39-H39,0)</f>
        <v>24245.799999999996</v>
      </c>
      <c r="H39" s="78">
        <f>+IFERROR(VLOOKUP(K40&amp;" - kapitálové transfery",B$53:C$90,2,0),0)</f>
        <v>0</v>
      </c>
      <c r="I39" s="73">
        <f>SUMIF(FP!K:K,K40,FP!D:D)</f>
        <v>121229</v>
      </c>
      <c r="L39" s="84">
        <f>COUNTIF(FP!N:N,Doklady!B1&amp;"aK")</f>
        <v>0</v>
      </c>
      <c r="T39" s="86"/>
    </row>
    <row r="40" spans="1:21" x14ac:dyDescent="0.2">
      <c r="A40" s="115" t="s">
        <v>240</v>
      </c>
      <c r="B40" s="116" t="s">
        <v>274</v>
      </c>
      <c r="C40" s="78">
        <f>DSUM(Doklady!A103:J10011,"GGG",Spolu!L40:M42)</f>
        <v>16075.630000000003</v>
      </c>
      <c r="D40" s="78">
        <f>DSUM(Doklady!A103:J10011,"GGG",Spolu!N40:O42)</f>
        <v>1485.7</v>
      </c>
      <c r="E40" s="78">
        <f>DSUM(Doklady!A103:J10011,"GGG",Spolu!P40:Q42)</f>
        <v>48755.490000000027</v>
      </c>
      <c r="F40" s="78">
        <f>DSUM(Doklady!A103:J10011,"GGG",Spolu!R40:S42)</f>
        <v>5648.92</v>
      </c>
      <c r="G40" s="78">
        <f>DSUM(Doklady!A103:J10011,"GGG",Spolu!T40:U42)-H40</f>
        <v>0</v>
      </c>
      <c r="H40" s="78">
        <f>+IFERROR(VLOOKUP(K40&amp;" - kapitálové transfery",B$53:D$90,3,0),0)</f>
        <v>0</v>
      </c>
      <c r="I40" s="73">
        <f>+C40+D40+E40+F40+G40+H40</f>
        <v>71965.740000000034</v>
      </c>
      <c r="J40" s="210" t="str">
        <f>+K45</f>
        <v>.</v>
      </c>
      <c r="K40" s="210" t="str">
        <f>IF(L38&gt;0,INDEX(FP!K:K,Doklady!B2),".")</f>
        <v>moderný päťboj</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8170.17</v>
      </c>
      <c r="D41" s="78">
        <f>MAX(D39-D40,0)</f>
        <v>22760.100000000002</v>
      </c>
      <c r="E41" s="78">
        <f>MAX(E39-E40,0)</f>
        <v>0</v>
      </c>
      <c r="F41" s="78">
        <f>MIN(I39,MAX(-F39+F40,0))</f>
        <v>0</v>
      </c>
      <c r="G41" s="78">
        <f>MIN(J39,MAX(-G39+G40+MIN(F40-F39,0),0))</f>
        <v>0</v>
      </c>
      <c r="H41" s="78">
        <f>MAX(H39-H40,0)</f>
        <v>0</v>
      </c>
      <c r="I41" s="124">
        <f>+I39-I42</f>
        <v>49263.259999999966</v>
      </c>
      <c r="J41" s="211">
        <f>+K46</f>
        <v>0</v>
      </c>
      <c r="K41" s="211">
        <f>+I41-H41</f>
        <v>49263.259999999966</v>
      </c>
      <c r="L41" s="153" t="str">
        <f>IF(L38&gt;0,"a - "&amp;INDEX(FP!C:C,Doklady!B2),2)</f>
        <v>a - moderný päťboj - bežné transfery</v>
      </c>
      <c r="M41" s="120">
        <v>1</v>
      </c>
      <c r="N41" s="153" t="str">
        <f>+L41</f>
        <v>a - moderný päťboj - bežné transfery</v>
      </c>
      <c r="O41" s="120">
        <v>2</v>
      </c>
      <c r="P41" s="153" t="str">
        <f>+L41</f>
        <v>a - moderný päťboj - bežné transfery</v>
      </c>
      <c r="Q41" s="120">
        <v>3</v>
      </c>
      <c r="R41" s="153" t="str">
        <f>+L41</f>
        <v>a - moderný päťboj - bežné transfery</v>
      </c>
      <c r="S41" s="120">
        <v>4</v>
      </c>
      <c r="T41" s="153" t="str">
        <f>+L41</f>
        <v>a - moderný päťboj - bežné transfery</v>
      </c>
      <c r="U41" s="120">
        <v>5</v>
      </c>
    </row>
    <row r="42" spans="1:21" ht="10.5" customHeight="1" x14ac:dyDescent="0.2">
      <c r="A42" s="115" t="s">
        <v>240</v>
      </c>
      <c r="B42" s="116" t="s">
        <v>277</v>
      </c>
      <c r="C42" s="73">
        <f>+C40</f>
        <v>16075.630000000003</v>
      </c>
      <c r="D42" s="208">
        <f>+D40</f>
        <v>1485.7</v>
      </c>
      <c r="E42" s="208">
        <f>+E40</f>
        <v>48755.490000000027</v>
      </c>
      <c r="F42" s="208">
        <f>+MIN(F39:F40)</f>
        <v>5648.92</v>
      </c>
      <c r="G42" s="208">
        <f>+MIN(G39+MAX(F39-F40,0)-MAX(E40-E39,0)-MAX(D40-D39,0)-MAX(C40-C39,0),G40)</f>
        <v>0</v>
      </c>
      <c r="H42" s="208">
        <f>+MIN(H39:H40)</f>
        <v>0</v>
      </c>
      <c r="I42" s="73">
        <f>+C42+D42+E42+MIN(F39:F40)+G42+H42</f>
        <v>71965.740000000034</v>
      </c>
      <c r="J42" s="211">
        <f>+K47</f>
        <v>0</v>
      </c>
      <c r="K42" s="211">
        <f>+I42-H42</f>
        <v>71965.740000000034</v>
      </c>
      <c r="L42" s="153" t="str">
        <f>+SUBSTITUTE(L41,"bežné","kapitálové")</f>
        <v>a - moderný päťboj - kapitálové transfery</v>
      </c>
      <c r="M42" s="120">
        <v>1</v>
      </c>
      <c r="N42" s="153" t="str">
        <f>+L42</f>
        <v>a - moderný päťboj - kapitálové transfery</v>
      </c>
      <c r="O42" s="120">
        <v>2</v>
      </c>
      <c r="P42" s="153" t="str">
        <f>+L42</f>
        <v>a - moderný päťboj - kapitálové transfery</v>
      </c>
      <c r="Q42" s="120">
        <v>3</v>
      </c>
      <c r="R42" s="153" t="str">
        <f>+L42</f>
        <v>a - moderný päťboj - kapitálové transfery</v>
      </c>
      <c r="S42" s="120">
        <v>4</v>
      </c>
      <c r="T42" s="153" t="str">
        <f>+L42</f>
        <v>a - moderný päťboj - kapitálové transfery</v>
      </c>
      <c r="U42" s="120">
        <v>5</v>
      </c>
    </row>
    <row r="43" spans="1:21" ht="20.399999999999999"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DSUM(Doklady!A103:J10011,"GGG",Spolu!L45:M47)</f>
        <v>0</v>
      </c>
      <c r="D45" s="78">
        <f>DSUM(Doklady!A103:J10011,"GGG",Spolu!N45:O47)</f>
        <v>0</v>
      </c>
      <c r="E45" s="78">
        <f>DSUM(Doklady!A103:J10011,"GGG",Spolu!P45:Q47)</f>
        <v>0</v>
      </c>
      <c r="F45" s="78">
        <f>DSUM(Doklady!A103:J10011,"GGG",Spolu!R45:S47)</f>
        <v>0</v>
      </c>
      <c r="G45" s="78">
        <f>DSUM(Doklady!A103:J10011,"GGG",Spolu!T45:U47)-H45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41"/>
      <c r="B50" s="342"/>
      <c r="C50" s="342"/>
      <c r="D50" s="342"/>
      <c r="E50" s="342"/>
      <c r="F50" s="342"/>
      <c r="G50" s="342"/>
      <c r="H50" s="342"/>
      <c r="I50" s="342"/>
      <c r="T50" s="86"/>
    </row>
    <row r="51" spans="1:20" x14ac:dyDescent="0.2">
      <c r="A51" s="112"/>
      <c r="B51" s="113"/>
      <c r="C51" s="111"/>
      <c r="D51" s="114"/>
      <c r="E51" s="114"/>
      <c r="F51" s="114"/>
      <c r="G51" s="214"/>
      <c r="H51" s="114"/>
      <c r="I51" s="114"/>
      <c r="T51" s="86"/>
    </row>
    <row r="52" spans="1:20" ht="20.399999999999999"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moderný päťboj - bežné transfery</v>
      </c>
      <c r="C53" s="73">
        <f>IF(A53&lt;&gt;"",INDEX(FP!D:D,Doklady!B$2+(ROW()-53)),"")</f>
        <v>121229</v>
      </c>
      <c r="D53" s="73">
        <f>IF(A53&lt;&gt;"",Doklady!I1-Doklady!J1,"")</f>
        <v>71965.740000000034</v>
      </c>
      <c r="E53" s="73">
        <f>IF(A53&lt;&gt;"",MIN(D53,C53)*Doklady!C1/(1-Doklady!C1),"")</f>
        <v>0</v>
      </c>
      <c r="F53" s="71">
        <f>IF(A53&lt;&gt;"",Doklady!J1,"")</f>
        <v>0</v>
      </c>
      <c r="G53" s="73">
        <f>+IFERROR(HLOOKUP(IF(RIGHT(B53,15)="bežné transfery",LEFT(B53,LEN(B53)-18),0),$J$40:$K$42,3,0),MIN(C53,D53))</f>
        <v>71965.740000000034</v>
      </c>
      <c r="H53" s="71"/>
      <c r="I53" s="73">
        <f>IF(A53&lt;&gt;"",MAX(IF(G53&lt;C53,C53-G53,0)+IF(F53&lt;E53,E53-F53,0),0),0)</f>
        <v>49263.259999999966</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121229</v>
      </c>
      <c r="D130" s="220">
        <f t="shared" ref="D130:I130" si="9">SUM(D53:D129)</f>
        <v>71965.740000000034</v>
      </c>
      <c r="E130" s="220">
        <f t="shared" si="9"/>
        <v>0</v>
      </c>
      <c r="F130" s="220">
        <f t="shared" si="9"/>
        <v>0</v>
      </c>
      <c r="G130" s="220">
        <f t="shared" si="9"/>
        <v>71965.740000000034</v>
      </c>
      <c r="H130" s="220">
        <f t="shared" si="9"/>
        <v>0</v>
      </c>
      <c r="I130" s="220">
        <f t="shared" si="9"/>
        <v>49263.259999999966</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2"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291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292</v>
      </c>
      <c r="B139" s="9"/>
      <c r="C139" s="74"/>
      <c r="D139" s="74"/>
      <c r="E139" s="74"/>
      <c r="F139" s="74"/>
      <c r="G139" s="74"/>
      <c r="H139" s="74"/>
      <c r="I139" s="74"/>
      <c r="J139" s="85"/>
    </row>
    <row r="140" spans="1:26" ht="13.2" x14ac:dyDescent="0.25">
      <c r="A140" s="9"/>
      <c r="B140" s="271"/>
      <c r="C140" s="221"/>
      <c r="D140" s="358"/>
      <c r="E140" s="358"/>
      <c r="F140" s="358"/>
      <c r="G140" s="358"/>
      <c r="H140" s="358"/>
      <c r="I140" s="358"/>
      <c r="J140" s="85"/>
    </row>
    <row r="141" spans="1:26" ht="68.25" customHeight="1" x14ac:dyDescent="0.25">
      <c r="A141" s="9"/>
      <c r="B141" s="273" t="s">
        <v>293</v>
      </c>
      <c r="C141" s="206"/>
      <c r="D141" s="338" t="s">
        <v>294</v>
      </c>
      <c r="E141" s="338"/>
      <c r="F141" s="338"/>
      <c r="G141" s="338"/>
      <c r="H141" s="338"/>
      <c r="I141" s="338"/>
      <c r="J141" s="85"/>
    </row>
    <row r="142" spans="1:26" ht="13.2" x14ac:dyDescent="0.25">
      <c r="A142" s="9"/>
      <c r="B142" s="272"/>
      <c r="C142" s="206"/>
      <c r="D142" s="255"/>
      <c r="E142" s="255"/>
      <c r="F142" s="255"/>
      <c r="G142" s="255"/>
      <c r="H142" s="255"/>
      <c r="I142" s="255"/>
      <c r="J142" s="85"/>
    </row>
    <row r="143" spans="1:26" ht="13.2" x14ac:dyDescent="0.25">
      <c r="A143" s="9"/>
      <c r="B143" s="272"/>
      <c r="C143" s="206"/>
      <c r="D143" s="255"/>
      <c r="E143" s="255"/>
      <c r="F143" s="255"/>
      <c r="G143" s="255"/>
      <c r="H143" s="255"/>
      <c r="I143" s="255"/>
      <c r="J143" s="85"/>
    </row>
    <row r="144" spans="1:26" ht="13.2" x14ac:dyDescent="0.25">
      <c r="A144" s="9"/>
      <c r="B144" s="273"/>
      <c r="C144" s="206"/>
      <c r="D144" s="255"/>
      <c r="E144" s="255"/>
      <c r="F144" s="255"/>
      <c r="G144" s="255"/>
      <c r="H144" s="255"/>
      <c r="I144" s="255"/>
      <c r="J144" s="85"/>
    </row>
    <row r="145" spans="2:2" ht="13.2" x14ac:dyDescent="0.2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11"/>
  <sheetViews>
    <sheetView tabSelected="1" topLeftCell="A100" zoomScaleNormal="100" workbookViewId="0">
      <selection activeCell="I186" sqref="I18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23" t="str">
        <f>IF(ROW()&lt;=B$3,INDEX(FP!F:F,B$2+ROW()-1)&amp;" - "&amp;INDEX(FP!C:C,B$2+ROW()-1),"")</f>
        <v>a - moderný päťboj - bežné transfery</v>
      </c>
      <c r="B1" s="224" t="str">
        <f>INDEX(Adr!A:A,B102+1)</f>
        <v>30788714</v>
      </c>
      <c r="C1" s="225">
        <f>IF(ROW()&lt;=B$3,INDEX(FP!E:E,B$2+ROW()-1),"")</f>
        <v>0</v>
      </c>
      <c r="D1" s="226" t="str">
        <f>IF(ROW()&lt;=B$3,INDEX(FP!F:F,B$2+ROW()-1),"")</f>
        <v>a</v>
      </c>
      <c r="E1" s="226"/>
      <c r="F1" s="226" t="str">
        <f>IF(ROW()&lt;=B$3,INDEX(FP!G:G,B$2+ROW()-1),"")</f>
        <v>026 02</v>
      </c>
      <c r="G1" s="226"/>
      <c r="H1" s="227" t="str">
        <f>IF(ROW()&lt;=B$3,INDEX(FP!C:C,B$2+ROW()-1),"")</f>
        <v>moderný päťboj - bežné transfery</v>
      </c>
      <c r="I1" s="228">
        <f t="shared" ref="I1:I32" si="0">IF(ROW()&lt;=B$3,SUMIF(A$107:A$10053,A1,I$107:I$10053),"")</f>
        <v>71965.740000000034</v>
      </c>
      <c r="J1" s="228">
        <f t="shared" ref="J1:J32" si="1">IF(ROW()&lt;=B$3,SUMIFS(I$103:I$50053,A$103:A$50053,K1,J$103:J$50053,L1),"")</f>
        <v>0</v>
      </c>
      <c r="K1" s="110" t="str">
        <f>$A1</f>
        <v>a - moderný päťboj - bežné transfery</v>
      </c>
      <c r="L1" s="101">
        <v>99</v>
      </c>
      <c r="M1" s="88"/>
      <c r="N1" s="88"/>
      <c r="O1" s="88"/>
      <c r="P1" s="88"/>
      <c r="Q1" s="88"/>
      <c r="R1" s="88"/>
      <c r="S1" s="88"/>
      <c r="T1" s="88"/>
      <c r="U1" s="88"/>
      <c r="V1" s="88"/>
      <c r="W1" s="88"/>
      <c r="X1" s="88"/>
      <c r="Y1" s="88"/>
    </row>
    <row r="2" spans="1:25" s="6" customFormat="1" ht="10.8" hidden="1" thickBot="1" x14ac:dyDescent="0.25">
      <c r="A2" s="223" t="str">
        <f>IF(ROW()&lt;=B$3,INDEX(FP!F:F,B$2+ROW()-1)&amp;" - "&amp;INDEX(FP!C:C,B$2+ROW()-1),"")</f>
        <v/>
      </c>
      <c r="B2" s="229">
        <f>MATCH(B1,FP!A:A,0)</f>
        <v>406</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0.8"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0.8"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8"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0.8"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0.8"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0.8"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0.8"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0.8"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8"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8"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8"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8"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8"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8"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8"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8"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8"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8"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IF(ROW()&lt;=B$3,SUMIF(A$107:A$10053,A33,I$107:I$10053),"")</f>
        <v/>
      </c>
      <c r="J33" s="228" t="str">
        <f t="shared" ref="J33:J64" si="4">IF(ROW()&lt;=B$3,SUMIFS(I$103:I$50053,A$103:A$50053,K33,J$103:J$50053,L33),"")</f>
        <v/>
      </c>
      <c r="K33" s="110" t="str">
        <f t="shared" si="2"/>
        <v/>
      </c>
      <c r="L33" s="101">
        <v>99</v>
      </c>
      <c r="M33" s="104" t="str">
        <f>$A32</f>
        <v/>
      </c>
      <c r="N33" s="105">
        <v>99</v>
      </c>
      <c r="O33" s="88"/>
      <c r="P33" s="88"/>
      <c r="Q33" s="88"/>
      <c r="R33" s="88"/>
      <c r="W33" s="88"/>
      <c r="X33" s="88"/>
      <c r="Y33" s="88"/>
    </row>
    <row r="34" spans="1:25" s="6" customFormat="1" ht="10.8"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8"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8"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8"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8"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8"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8"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8"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8"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8"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8"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8"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8"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8"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8"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8"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8"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IF(ROW()&lt;=B$3,SUMIF(A$107:A$10053,A65,I$107:I$10053),"")</f>
        <v/>
      </c>
      <c r="J65" s="228" t="str">
        <f t="shared" ref="J65:J96" si="6">IF(ROW()&lt;=B$3,SUMIFS(I$103:I$50053,A$103:A$50053,K65,J$103:J$50053,L65),"")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8"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8"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8"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8"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8"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8"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8"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8"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8"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8"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8"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8"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8"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8"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8"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6" x14ac:dyDescent="0.3">
      <c r="A100" s="369" t="s">
        <v>1479</v>
      </c>
      <c r="B100" s="369"/>
      <c r="C100" s="369"/>
      <c r="D100" s="369"/>
      <c r="E100" s="369"/>
      <c r="F100" s="369"/>
      <c r="G100" s="369"/>
      <c r="H100" s="369"/>
      <c r="I100" s="371" t="s">
        <v>1480</v>
      </c>
      <c r="J100" s="371"/>
      <c r="K100" s="89"/>
    </row>
    <row r="101" spans="1:25" ht="15.6" x14ac:dyDescent="0.3">
      <c r="A101" s="369"/>
      <c r="B101" s="369"/>
      <c r="C101" s="369"/>
      <c r="D101" s="369"/>
      <c r="E101" s="369"/>
      <c r="F101" s="369"/>
      <c r="G101" s="369"/>
      <c r="H101" s="369"/>
      <c r="I101" s="370">
        <v>46053</v>
      </c>
      <c r="J101" s="370"/>
    </row>
    <row r="102" spans="1:25" ht="13.8" x14ac:dyDescent="0.25">
      <c r="A102" s="241" t="s">
        <v>299</v>
      </c>
      <c r="B102" s="242">
        <v>126</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5">
      <c r="A105" s="372" t="s">
        <v>308</v>
      </c>
      <c r="B105" s="373"/>
      <c r="C105" s="373"/>
      <c r="D105" s="373"/>
      <c r="E105" s="373"/>
      <c r="F105" s="373"/>
      <c r="G105" s="373"/>
      <c r="H105" s="373"/>
      <c r="I105" s="373"/>
      <c r="J105" s="374"/>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1" x14ac:dyDescent="0.25">
      <c r="A107" s="14" t="s">
        <v>2565</v>
      </c>
      <c r="B107" s="14" t="s">
        <v>2566</v>
      </c>
      <c r="C107" s="14" t="s">
        <v>2567</v>
      </c>
      <c r="D107" s="16">
        <v>46053</v>
      </c>
      <c r="E107" s="16"/>
      <c r="F107" s="14" t="s">
        <v>2568</v>
      </c>
      <c r="G107" s="14" t="s">
        <v>784</v>
      </c>
      <c r="H107" s="14" t="s">
        <v>2569</v>
      </c>
      <c r="I107" s="15">
        <v>1861.71</v>
      </c>
      <c r="J107" s="77">
        <v>3</v>
      </c>
      <c r="K107" s="92"/>
    </row>
    <row r="108" spans="1:25" ht="51" x14ac:dyDescent="0.25">
      <c r="A108" s="14" t="s">
        <v>2565</v>
      </c>
      <c r="B108" s="14" t="s">
        <v>2566</v>
      </c>
      <c r="C108" s="14" t="s">
        <v>2567</v>
      </c>
      <c r="D108" s="16">
        <v>46053</v>
      </c>
      <c r="E108" s="16"/>
      <c r="F108" s="14" t="s">
        <v>2568</v>
      </c>
      <c r="G108" s="14" t="s">
        <v>784</v>
      </c>
      <c r="H108" s="14" t="s">
        <v>2570</v>
      </c>
      <c r="I108" s="15">
        <v>718.8</v>
      </c>
      <c r="J108" s="77">
        <v>4</v>
      </c>
      <c r="K108" s="92"/>
    </row>
    <row r="109" spans="1:25" ht="51" x14ac:dyDescent="0.25">
      <c r="A109" s="14" t="s">
        <v>2565</v>
      </c>
      <c r="B109" s="14" t="s">
        <v>2571</v>
      </c>
      <c r="C109" s="14" t="s">
        <v>2572</v>
      </c>
      <c r="D109" s="16">
        <v>46081</v>
      </c>
      <c r="E109" s="16"/>
      <c r="F109" s="14" t="s">
        <v>2573</v>
      </c>
      <c r="G109" s="14" t="s">
        <v>784</v>
      </c>
      <c r="H109" s="14" t="s">
        <v>2569</v>
      </c>
      <c r="I109" s="15">
        <v>1857.85</v>
      </c>
      <c r="J109" s="77">
        <v>3</v>
      </c>
      <c r="K109" s="92"/>
    </row>
    <row r="110" spans="1:25" ht="51" x14ac:dyDescent="0.25">
      <c r="A110" s="14" t="s">
        <v>2565</v>
      </c>
      <c r="B110" s="14" t="s">
        <v>2571</v>
      </c>
      <c r="C110" s="14" t="s">
        <v>2572</v>
      </c>
      <c r="D110" s="16">
        <v>46081</v>
      </c>
      <c r="E110" s="16"/>
      <c r="F110" s="14" t="s">
        <v>2573</v>
      </c>
      <c r="G110" s="14" t="s">
        <v>784</v>
      </c>
      <c r="H110" s="14" t="s">
        <v>2570</v>
      </c>
      <c r="I110" s="15">
        <v>718.8</v>
      </c>
      <c r="J110" s="77">
        <v>4</v>
      </c>
      <c r="K110" s="92"/>
    </row>
    <row r="111" spans="1:25" ht="20.399999999999999" x14ac:dyDescent="0.25">
      <c r="A111" s="14" t="s">
        <v>2565</v>
      </c>
      <c r="B111" s="14" t="s">
        <v>2574</v>
      </c>
      <c r="C111" s="14" t="s">
        <v>2575</v>
      </c>
      <c r="D111" s="16">
        <v>46084</v>
      </c>
      <c r="E111" s="16"/>
      <c r="F111" s="14" t="s">
        <v>2576</v>
      </c>
      <c r="G111" s="14" t="s">
        <v>2577</v>
      </c>
      <c r="H111" s="14" t="s">
        <v>2578</v>
      </c>
      <c r="I111" s="15">
        <v>50.98</v>
      </c>
      <c r="J111" s="77">
        <v>3</v>
      </c>
      <c r="K111" s="92"/>
    </row>
    <row r="112" spans="1:25" ht="30.6" x14ac:dyDescent="0.25">
      <c r="A112" s="14" t="s">
        <v>2565</v>
      </c>
      <c r="B112" s="14" t="s">
        <v>2579</v>
      </c>
      <c r="C112" s="14" t="s">
        <v>2580</v>
      </c>
      <c r="D112" s="16">
        <v>46084</v>
      </c>
      <c r="E112" s="16"/>
      <c r="F112" s="14" t="s">
        <v>2581</v>
      </c>
      <c r="G112" s="14" t="s">
        <v>2323</v>
      </c>
      <c r="H112" s="14" t="s">
        <v>2582</v>
      </c>
      <c r="I112" s="15">
        <v>1243.8</v>
      </c>
      <c r="J112" s="77">
        <v>1</v>
      </c>
      <c r="K112" s="92"/>
    </row>
    <row r="113" spans="1:11" ht="30.6" x14ac:dyDescent="0.25">
      <c r="A113" s="14" t="s">
        <v>2565</v>
      </c>
      <c r="B113" s="14" t="s">
        <v>2583</v>
      </c>
      <c r="C113" s="14" t="s">
        <v>2584</v>
      </c>
      <c r="D113" s="16">
        <v>46084</v>
      </c>
      <c r="E113" s="16"/>
      <c r="F113" s="14" t="s">
        <v>2585</v>
      </c>
      <c r="G113" s="14" t="s">
        <v>2323</v>
      </c>
      <c r="H113" s="14" t="s">
        <v>2582</v>
      </c>
      <c r="I113" s="15">
        <v>1770.6</v>
      </c>
      <c r="J113" s="77">
        <v>1</v>
      </c>
      <c r="K113" s="92"/>
    </row>
    <row r="114" spans="1:11" ht="20.399999999999999" x14ac:dyDescent="0.25">
      <c r="A114" s="14" t="s">
        <v>2565</v>
      </c>
      <c r="B114" s="14" t="s">
        <v>2586</v>
      </c>
      <c r="C114" s="14" t="s">
        <v>2587</v>
      </c>
      <c r="D114" s="16">
        <v>46097</v>
      </c>
      <c r="E114" s="16"/>
      <c r="F114" s="14" t="s">
        <v>2588</v>
      </c>
      <c r="G114" s="14" t="s">
        <v>2589</v>
      </c>
      <c r="H114" s="14" t="s">
        <v>2590</v>
      </c>
      <c r="I114" s="15">
        <v>30.75</v>
      </c>
      <c r="J114" s="77">
        <v>4</v>
      </c>
      <c r="K114" s="92"/>
    </row>
    <row r="115" spans="1:11" ht="13.2" x14ac:dyDescent="0.25">
      <c r="A115" s="14" t="s">
        <v>2565</v>
      </c>
      <c r="B115" s="14" t="s">
        <v>2591</v>
      </c>
      <c r="C115" s="14" t="s">
        <v>2592</v>
      </c>
      <c r="D115" s="16">
        <v>46112</v>
      </c>
      <c r="E115" s="16"/>
      <c r="F115" s="14" t="s">
        <v>2593</v>
      </c>
      <c r="G115" s="14" t="s">
        <v>2594</v>
      </c>
      <c r="H115" s="14" t="s">
        <v>2595</v>
      </c>
      <c r="I115" s="15">
        <v>13</v>
      </c>
      <c r="J115" s="77">
        <v>4</v>
      </c>
      <c r="K115" s="92"/>
    </row>
    <row r="116" spans="1:11" ht="51" x14ac:dyDescent="0.25">
      <c r="A116" s="14" t="s">
        <v>2565</v>
      </c>
      <c r="B116" s="14" t="s">
        <v>2596</v>
      </c>
      <c r="C116" s="14" t="s">
        <v>2592</v>
      </c>
      <c r="D116" s="16">
        <v>46112</v>
      </c>
      <c r="E116" s="16"/>
      <c r="F116" s="14" t="s">
        <v>2597</v>
      </c>
      <c r="G116" s="14" t="s">
        <v>784</v>
      </c>
      <c r="H116" s="14" t="s">
        <v>2569</v>
      </c>
      <c r="I116" s="15">
        <v>1887.4</v>
      </c>
      <c r="J116" s="77">
        <v>3</v>
      </c>
      <c r="K116" s="92"/>
    </row>
    <row r="117" spans="1:11" ht="51" x14ac:dyDescent="0.25">
      <c r="A117" s="14" t="s">
        <v>2565</v>
      </c>
      <c r="B117" s="14" t="s">
        <v>2596</v>
      </c>
      <c r="C117" s="14" t="s">
        <v>2592</v>
      </c>
      <c r="D117" s="16">
        <v>46112</v>
      </c>
      <c r="E117" s="16"/>
      <c r="F117" s="14" t="s">
        <v>2597</v>
      </c>
      <c r="G117" s="14" t="s">
        <v>784</v>
      </c>
      <c r="H117" s="14" t="s">
        <v>2570</v>
      </c>
      <c r="I117" s="15">
        <v>718.8</v>
      </c>
      <c r="J117" s="77">
        <v>4</v>
      </c>
      <c r="K117" s="92"/>
    </row>
    <row r="118" spans="1:11" ht="51" x14ac:dyDescent="0.25">
      <c r="A118" s="14" t="s">
        <v>2565</v>
      </c>
      <c r="B118" s="14" t="s">
        <v>2596</v>
      </c>
      <c r="C118" s="14" t="s">
        <v>2592</v>
      </c>
      <c r="D118" s="16">
        <v>46112</v>
      </c>
      <c r="E118" s="16"/>
      <c r="F118" s="14" t="s">
        <v>2597</v>
      </c>
      <c r="G118" s="14" t="s">
        <v>784</v>
      </c>
      <c r="H118" s="14" t="s">
        <v>2598</v>
      </c>
      <c r="I118" s="15">
        <v>507.44</v>
      </c>
      <c r="J118" s="77">
        <v>3</v>
      </c>
      <c r="K118" s="92"/>
    </row>
    <row r="119" spans="1:11" ht="20.399999999999999" x14ac:dyDescent="0.25">
      <c r="A119" s="14" t="s">
        <v>2565</v>
      </c>
      <c r="B119" s="14" t="s">
        <v>2599</v>
      </c>
      <c r="C119" s="14" t="s">
        <v>2600</v>
      </c>
      <c r="D119" s="16">
        <v>46125</v>
      </c>
      <c r="E119" s="16"/>
      <c r="F119" s="14" t="s">
        <v>2601</v>
      </c>
      <c r="G119" s="14" t="s">
        <v>2589</v>
      </c>
      <c r="H119" s="14" t="s">
        <v>2590</v>
      </c>
      <c r="I119" s="15">
        <v>30.75</v>
      </c>
      <c r="J119" s="77">
        <v>4</v>
      </c>
      <c r="K119" s="92"/>
    </row>
    <row r="120" spans="1:11" ht="30.6" x14ac:dyDescent="0.25">
      <c r="A120" s="14" t="s">
        <v>2565</v>
      </c>
      <c r="B120" s="14" t="s">
        <v>2602</v>
      </c>
      <c r="C120" s="14" t="s">
        <v>2603</v>
      </c>
      <c r="D120" s="16">
        <v>46125</v>
      </c>
      <c r="E120" s="16"/>
      <c r="F120" s="14" t="s">
        <v>2604</v>
      </c>
      <c r="G120" s="14" t="s">
        <v>2323</v>
      </c>
      <c r="H120" s="14" t="s">
        <v>2582</v>
      </c>
      <c r="I120" s="15">
        <v>1125</v>
      </c>
      <c r="J120" s="77">
        <v>1</v>
      </c>
      <c r="K120" s="92"/>
    </row>
    <row r="121" spans="1:11" ht="30.6" x14ac:dyDescent="0.25">
      <c r="A121" s="14" t="s">
        <v>2565</v>
      </c>
      <c r="B121" s="14" t="s">
        <v>2605</v>
      </c>
      <c r="C121" s="14" t="s">
        <v>2606</v>
      </c>
      <c r="D121" s="16">
        <v>46125</v>
      </c>
      <c r="E121" s="16"/>
      <c r="F121" s="14" t="s">
        <v>2607</v>
      </c>
      <c r="G121" s="14" t="s">
        <v>2323</v>
      </c>
      <c r="H121" s="14" t="s">
        <v>2582</v>
      </c>
      <c r="I121" s="15">
        <v>1770.6</v>
      </c>
      <c r="J121" s="77">
        <v>1</v>
      </c>
      <c r="K121" s="92"/>
    </row>
    <row r="122" spans="1:11" ht="20.399999999999999" x14ac:dyDescent="0.25">
      <c r="A122" s="14" t="s">
        <v>2565</v>
      </c>
      <c r="B122" s="14" t="s">
        <v>2608</v>
      </c>
      <c r="C122" s="14" t="s">
        <v>2575</v>
      </c>
      <c r="D122" s="16">
        <v>46125</v>
      </c>
      <c r="E122" s="16"/>
      <c r="F122" s="14" t="s">
        <v>2609</v>
      </c>
      <c r="G122" s="14" t="s">
        <v>2577</v>
      </c>
      <c r="H122" s="14" t="s">
        <v>2578</v>
      </c>
      <c r="I122" s="15">
        <v>50.98</v>
      </c>
      <c r="J122" s="77">
        <v>3</v>
      </c>
      <c r="K122" s="92"/>
    </row>
    <row r="123" spans="1:11" ht="30.6" x14ac:dyDescent="0.25">
      <c r="A123" s="14" t="s">
        <v>2565</v>
      </c>
      <c r="B123" s="14" t="s">
        <v>2610</v>
      </c>
      <c r="C123" s="14"/>
      <c r="D123" s="16">
        <v>46125</v>
      </c>
      <c r="E123" s="16">
        <v>46061</v>
      </c>
      <c r="F123" s="14" t="s">
        <v>2611</v>
      </c>
      <c r="G123" s="14"/>
      <c r="H123" s="14" t="s">
        <v>2612</v>
      </c>
      <c r="I123" s="15">
        <v>980.1</v>
      </c>
      <c r="J123" s="77">
        <v>3</v>
      </c>
      <c r="K123" s="92"/>
    </row>
    <row r="124" spans="1:11" ht="13.2" x14ac:dyDescent="0.25">
      <c r="A124" s="14" t="s">
        <v>2565</v>
      </c>
      <c r="B124" s="14" t="s">
        <v>2613</v>
      </c>
      <c r="C124" s="14" t="s">
        <v>2614</v>
      </c>
      <c r="D124" s="16">
        <v>46142</v>
      </c>
      <c r="E124" s="16"/>
      <c r="F124" s="14" t="s">
        <v>2615</v>
      </c>
      <c r="G124" s="14" t="s">
        <v>2616</v>
      </c>
      <c r="H124" s="14" t="s">
        <v>2617</v>
      </c>
      <c r="I124" s="15">
        <v>56</v>
      </c>
      <c r="J124" s="77">
        <v>4</v>
      </c>
      <c r="K124" s="92"/>
    </row>
    <row r="125" spans="1:11" ht="13.2" x14ac:dyDescent="0.25">
      <c r="A125" s="14" t="s">
        <v>2565</v>
      </c>
      <c r="B125" s="14" t="s">
        <v>2618</v>
      </c>
      <c r="C125" s="14" t="s">
        <v>2619</v>
      </c>
      <c r="D125" s="16">
        <v>46142</v>
      </c>
      <c r="E125" s="16"/>
      <c r="F125" s="14" t="s">
        <v>2593</v>
      </c>
      <c r="G125" s="14" t="s">
        <v>2594</v>
      </c>
      <c r="H125" s="14" t="s">
        <v>2595</v>
      </c>
      <c r="I125" s="15">
        <v>13</v>
      </c>
      <c r="J125" s="77">
        <v>4</v>
      </c>
      <c r="K125" s="92"/>
    </row>
    <row r="126" spans="1:11" ht="51" x14ac:dyDescent="0.25">
      <c r="A126" s="14" t="s">
        <v>2565</v>
      </c>
      <c r="B126" s="14" t="s">
        <v>2620</v>
      </c>
      <c r="C126" s="14" t="s">
        <v>2619</v>
      </c>
      <c r="D126" s="16">
        <v>46142</v>
      </c>
      <c r="E126" s="16"/>
      <c r="F126" s="14" t="s">
        <v>2621</v>
      </c>
      <c r="G126" s="14" t="s">
        <v>784</v>
      </c>
      <c r="H126" s="14" t="s">
        <v>2569</v>
      </c>
      <c r="I126" s="15">
        <v>1864.82</v>
      </c>
      <c r="J126" s="77">
        <v>3</v>
      </c>
      <c r="K126" s="92"/>
    </row>
    <row r="127" spans="1:11" ht="51" x14ac:dyDescent="0.25">
      <c r="A127" s="14" t="s">
        <v>2565</v>
      </c>
      <c r="B127" s="14" t="s">
        <v>2620</v>
      </c>
      <c r="C127" s="14" t="s">
        <v>2619</v>
      </c>
      <c r="D127" s="16">
        <v>46142</v>
      </c>
      <c r="E127" s="16"/>
      <c r="F127" s="14" t="s">
        <v>2621</v>
      </c>
      <c r="G127" s="14" t="s">
        <v>784</v>
      </c>
      <c r="H127" s="14" t="s">
        <v>2570</v>
      </c>
      <c r="I127" s="15">
        <v>718.8</v>
      </c>
      <c r="J127" s="77">
        <v>4</v>
      </c>
      <c r="K127" s="92"/>
    </row>
    <row r="128" spans="1:11" ht="51" x14ac:dyDescent="0.25">
      <c r="A128" s="14" t="s">
        <v>2565</v>
      </c>
      <c r="B128" s="14" t="s">
        <v>2620</v>
      </c>
      <c r="C128" s="14" t="s">
        <v>2619</v>
      </c>
      <c r="D128" s="16">
        <v>46142</v>
      </c>
      <c r="E128" s="16"/>
      <c r="F128" s="14" t="s">
        <v>2621</v>
      </c>
      <c r="G128" s="14" t="s">
        <v>784</v>
      </c>
      <c r="H128" s="14" t="s">
        <v>2598</v>
      </c>
      <c r="I128" s="15">
        <v>507.44</v>
      </c>
      <c r="J128" s="77">
        <v>3</v>
      </c>
      <c r="K128" s="92"/>
    </row>
    <row r="129" spans="1:11" ht="20.399999999999999" x14ac:dyDescent="0.25">
      <c r="A129" s="14" t="s">
        <v>2565</v>
      </c>
      <c r="B129" s="14" t="s">
        <v>2622</v>
      </c>
      <c r="C129" s="14" t="s">
        <v>2575</v>
      </c>
      <c r="D129" s="16">
        <v>46153</v>
      </c>
      <c r="E129" s="16"/>
      <c r="F129" s="14" t="s">
        <v>2623</v>
      </c>
      <c r="G129" s="14" t="s">
        <v>2577</v>
      </c>
      <c r="H129" s="14" t="s">
        <v>2578</v>
      </c>
      <c r="I129" s="15">
        <v>50.98</v>
      </c>
      <c r="J129" s="77">
        <v>3</v>
      </c>
      <c r="K129" s="92"/>
    </row>
    <row r="130" spans="1:11" ht="30.6" x14ac:dyDescent="0.25">
      <c r="A130" s="14" t="s">
        <v>2565</v>
      </c>
      <c r="B130" s="14" t="s">
        <v>2624</v>
      </c>
      <c r="C130" s="14" t="s">
        <v>2625</v>
      </c>
      <c r="D130" s="16">
        <v>46153</v>
      </c>
      <c r="E130" s="16"/>
      <c r="F130" s="14" t="s">
        <v>2626</v>
      </c>
      <c r="G130" s="14" t="s">
        <v>2323</v>
      </c>
      <c r="H130" s="14" t="s">
        <v>2582</v>
      </c>
      <c r="I130" s="15">
        <v>1740.6</v>
      </c>
      <c r="J130" s="77">
        <v>1</v>
      </c>
      <c r="K130" s="92"/>
    </row>
    <row r="131" spans="1:11" ht="30.6" x14ac:dyDescent="0.25">
      <c r="A131" s="14" t="s">
        <v>2565</v>
      </c>
      <c r="B131" s="14" t="s">
        <v>2627</v>
      </c>
      <c r="C131" s="14" t="s">
        <v>2628</v>
      </c>
      <c r="D131" s="16">
        <v>46153</v>
      </c>
      <c r="E131" s="16"/>
      <c r="F131" s="14" t="s">
        <v>2629</v>
      </c>
      <c r="G131" s="14" t="s">
        <v>2323</v>
      </c>
      <c r="H131" s="14" t="s">
        <v>2582</v>
      </c>
      <c r="I131" s="15">
        <v>1770.6</v>
      </c>
      <c r="J131" s="77">
        <v>1</v>
      </c>
      <c r="K131" s="92"/>
    </row>
    <row r="132" spans="1:11" ht="20.399999999999999" x14ac:dyDescent="0.25">
      <c r="A132" s="14" t="s">
        <v>2565</v>
      </c>
      <c r="B132" s="14" t="s">
        <v>2630</v>
      </c>
      <c r="C132" s="14" t="s">
        <v>2631</v>
      </c>
      <c r="D132" s="16">
        <v>46153</v>
      </c>
      <c r="E132" s="16"/>
      <c r="F132" s="14" t="s">
        <v>2632</v>
      </c>
      <c r="G132" s="14"/>
      <c r="H132" s="14" t="s">
        <v>2633</v>
      </c>
      <c r="I132" s="15">
        <v>280</v>
      </c>
      <c r="J132" s="77">
        <v>3</v>
      </c>
      <c r="K132" s="92"/>
    </row>
    <row r="133" spans="1:11" ht="122.4" x14ac:dyDescent="0.25">
      <c r="A133" s="14" t="s">
        <v>2565</v>
      </c>
      <c r="B133" s="14"/>
      <c r="C133" s="14"/>
      <c r="D133" s="16"/>
      <c r="E133" s="16"/>
      <c r="F133" s="14" t="s">
        <v>2634</v>
      </c>
      <c r="G133" s="14"/>
      <c r="H133" s="14"/>
      <c r="I133" s="15"/>
      <c r="J133" s="77"/>
      <c r="K133" s="92"/>
    </row>
    <row r="134" spans="1:11" ht="30.6" x14ac:dyDescent="0.25">
      <c r="A134" s="14" t="s">
        <v>2565</v>
      </c>
      <c r="B134" s="14" t="s">
        <v>2635</v>
      </c>
      <c r="C134" s="14" t="s">
        <v>2636</v>
      </c>
      <c r="D134" s="16">
        <v>46125</v>
      </c>
      <c r="E134" s="16"/>
      <c r="F134" s="14" t="s">
        <v>2637</v>
      </c>
      <c r="G134" s="14" t="s">
        <v>2638</v>
      </c>
      <c r="H134" s="14" t="s">
        <v>2639</v>
      </c>
      <c r="I134" s="15">
        <v>3072.88</v>
      </c>
      <c r="J134" s="77">
        <v>3</v>
      </c>
      <c r="K134" s="92"/>
    </row>
    <row r="135" spans="1:11" ht="30.6" x14ac:dyDescent="0.25">
      <c r="A135" s="14" t="s">
        <v>2565</v>
      </c>
      <c r="B135" s="14" t="s">
        <v>2640</v>
      </c>
      <c r="C135" s="14" t="s">
        <v>2641</v>
      </c>
      <c r="D135" s="16">
        <v>46125</v>
      </c>
      <c r="E135" s="16"/>
      <c r="F135" s="14" t="s">
        <v>2642</v>
      </c>
      <c r="G135" s="14" t="s">
        <v>2638</v>
      </c>
      <c r="H135" s="14" t="s">
        <v>2639</v>
      </c>
      <c r="I135" s="15">
        <v>156</v>
      </c>
      <c r="J135" s="77">
        <v>3</v>
      </c>
      <c r="K135" s="92"/>
    </row>
    <row r="136" spans="1:11" ht="40.799999999999997" x14ac:dyDescent="0.25">
      <c r="A136" s="14" t="s">
        <v>2565</v>
      </c>
      <c r="B136" s="14" t="s">
        <v>2643</v>
      </c>
      <c r="C136" s="14" t="s">
        <v>2644</v>
      </c>
      <c r="D136" s="16">
        <v>46135</v>
      </c>
      <c r="E136" s="16"/>
      <c r="F136" s="14" t="s">
        <v>2645</v>
      </c>
      <c r="G136" s="14" t="s">
        <v>2638</v>
      </c>
      <c r="H136" s="14" t="s">
        <v>2639</v>
      </c>
      <c r="I136" s="15">
        <v>215</v>
      </c>
      <c r="J136" s="77">
        <v>3</v>
      </c>
      <c r="K136" s="92"/>
    </row>
    <row r="137" spans="1:11" ht="20.399999999999999" x14ac:dyDescent="0.25">
      <c r="A137" s="14" t="s">
        <v>2565</v>
      </c>
      <c r="B137" s="14" t="s">
        <v>2646</v>
      </c>
      <c r="C137" s="14" t="s">
        <v>2647</v>
      </c>
      <c r="D137" s="16">
        <v>46125</v>
      </c>
      <c r="E137" s="16"/>
      <c r="F137" s="14" t="s">
        <v>2648</v>
      </c>
      <c r="G137" s="14"/>
      <c r="H137" s="14" t="s">
        <v>2649</v>
      </c>
      <c r="I137" s="15">
        <v>21515</v>
      </c>
      <c r="J137" s="77">
        <v>3</v>
      </c>
      <c r="K137" s="92"/>
    </row>
    <row r="138" spans="1:11" ht="40.799999999999997" x14ac:dyDescent="0.25">
      <c r="A138" s="14" t="s">
        <v>2565</v>
      </c>
      <c r="B138" s="14" t="s">
        <v>2622</v>
      </c>
      <c r="C138" s="14" t="s">
        <v>2650</v>
      </c>
      <c r="D138" s="16">
        <v>46153</v>
      </c>
      <c r="E138" s="16"/>
      <c r="F138" s="14" t="s">
        <v>2651</v>
      </c>
      <c r="G138" s="14" t="s">
        <v>2652</v>
      </c>
      <c r="H138" s="14" t="s">
        <v>2653</v>
      </c>
      <c r="I138" s="15" t="s">
        <v>2654</v>
      </c>
      <c r="J138" s="77">
        <v>3</v>
      </c>
      <c r="K138" s="92"/>
    </row>
    <row r="139" spans="1:11" ht="30.6" x14ac:dyDescent="0.25">
      <c r="A139" s="14" t="s">
        <v>2565</v>
      </c>
      <c r="B139" s="14" t="s">
        <v>2682</v>
      </c>
      <c r="C139" s="14"/>
      <c r="D139" s="16">
        <v>46161</v>
      </c>
      <c r="E139" s="16"/>
      <c r="F139" s="14" t="s">
        <v>2714</v>
      </c>
      <c r="G139" s="14"/>
      <c r="H139" s="14" t="s">
        <v>2612</v>
      </c>
      <c r="I139" s="15">
        <v>128</v>
      </c>
      <c r="J139" s="77">
        <v>3</v>
      </c>
      <c r="K139" s="92"/>
    </row>
    <row r="140" spans="1:11" ht="40.799999999999997" x14ac:dyDescent="0.25">
      <c r="A140" s="14" t="s">
        <v>2565</v>
      </c>
      <c r="B140" s="14" t="s">
        <v>2643</v>
      </c>
      <c r="C140" s="14" t="s">
        <v>2683</v>
      </c>
      <c r="D140" s="16">
        <v>46184</v>
      </c>
      <c r="E140" s="16"/>
      <c r="F140" s="14" t="s">
        <v>2684</v>
      </c>
      <c r="G140" s="14" t="s">
        <v>2323</v>
      </c>
      <c r="H140" s="14" t="s">
        <v>2582</v>
      </c>
      <c r="I140" s="15">
        <v>247.5</v>
      </c>
      <c r="J140" s="77">
        <v>3</v>
      </c>
      <c r="K140" s="92"/>
    </row>
    <row r="141" spans="1:11" ht="132.6" x14ac:dyDescent="0.25">
      <c r="A141" s="14" t="s">
        <v>2565</v>
      </c>
      <c r="B141" s="14"/>
      <c r="C141" s="14"/>
      <c r="D141" s="16"/>
      <c r="E141" s="16"/>
      <c r="F141" s="14" t="s">
        <v>2655</v>
      </c>
      <c r="G141" s="14"/>
      <c r="H141" s="14"/>
      <c r="I141" s="15"/>
      <c r="J141" s="77"/>
      <c r="K141" s="92"/>
    </row>
    <row r="142" spans="1:11" ht="30.6" x14ac:dyDescent="0.25">
      <c r="A142" s="14" t="s">
        <v>2565</v>
      </c>
      <c r="B142" s="14" t="s">
        <v>2656</v>
      </c>
      <c r="C142" s="14" t="s">
        <v>2657</v>
      </c>
      <c r="D142" s="16">
        <v>46153</v>
      </c>
      <c r="E142" s="16">
        <v>46130</v>
      </c>
      <c r="F142" s="14" t="s">
        <v>2658</v>
      </c>
      <c r="G142" s="14"/>
      <c r="H142" s="14" t="s">
        <v>2659</v>
      </c>
      <c r="I142" s="15">
        <v>212.07</v>
      </c>
      <c r="J142" s="77">
        <v>2</v>
      </c>
      <c r="K142" s="92"/>
    </row>
    <row r="143" spans="1:11" ht="20.399999999999999" x14ac:dyDescent="0.25">
      <c r="A143" s="14" t="s">
        <v>2565</v>
      </c>
      <c r="B143" s="14" t="s">
        <v>2688</v>
      </c>
      <c r="C143" s="14" t="s">
        <v>2689</v>
      </c>
      <c r="D143" s="16">
        <v>46184</v>
      </c>
      <c r="E143" s="16"/>
      <c r="F143" s="14" t="s">
        <v>2690</v>
      </c>
      <c r="G143" s="14" t="s">
        <v>2323</v>
      </c>
      <c r="H143" s="14" t="s">
        <v>2582</v>
      </c>
      <c r="I143" s="15">
        <v>144</v>
      </c>
      <c r="J143" s="77">
        <v>2</v>
      </c>
      <c r="K143" s="92"/>
    </row>
    <row r="144" spans="1:11" ht="20.399999999999999" x14ac:dyDescent="0.25">
      <c r="A144" s="14" t="s">
        <v>2565</v>
      </c>
      <c r="B144" s="14" t="s">
        <v>2660</v>
      </c>
      <c r="C144" s="14" t="s">
        <v>2661</v>
      </c>
      <c r="D144" s="16">
        <v>46156</v>
      </c>
      <c r="E144" s="16"/>
      <c r="F144" s="14" t="s">
        <v>2662</v>
      </c>
      <c r="G144" s="14" t="s">
        <v>2663</v>
      </c>
      <c r="H144" s="14" t="s">
        <v>2664</v>
      </c>
      <c r="I144" s="15">
        <v>55.57</v>
      </c>
      <c r="J144" s="77">
        <v>4</v>
      </c>
      <c r="K144" s="92"/>
    </row>
    <row r="145" spans="1:11" ht="13.2" x14ac:dyDescent="0.25">
      <c r="A145" s="14" t="s">
        <v>2565</v>
      </c>
      <c r="B145" s="14" t="s">
        <v>2665</v>
      </c>
      <c r="C145" s="14"/>
      <c r="D145" s="16">
        <v>46161</v>
      </c>
      <c r="E145" s="16"/>
      <c r="F145" s="14" t="s">
        <v>2666</v>
      </c>
      <c r="G145" s="14"/>
      <c r="H145" s="14" t="s">
        <v>2612</v>
      </c>
      <c r="I145" s="15">
        <v>60</v>
      </c>
      <c r="J145" s="77">
        <v>3</v>
      </c>
      <c r="K145" s="92"/>
    </row>
    <row r="146" spans="1:11" ht="132.6" x14ac:dyDescent="0.25">
      <c r="A146" s="14" t="s">
        <v>2565</v>
      </c>
      <c r="B146" s="14"/>
      <c r="C146" s="14"/>
      <c r="D146" s="16"/>
      <c r="E146" s="16"/>
      <c r="F146" s="14" t="s">
        <v>2667</v>
      </c>
      <c r="G146" s="14"/>
      <c r="H146" s="14"/>
      <c r="I146" s="15"/>
      <c r="J146" s="77"/>
      <c r="K146" s="92"/>
    </row>
    <row r="147" spans="1:11" ht="30.6" x14ac:dyDescent="0.25">
      <c r="A147" s="14" t="s">
        <v>2565</v>
      </c>
      <c r="B147" s="14" t="s">
        <v>2668</v>
      </c>
      <c r="C147" s="14" t="s">
        <v>2669</v>
      </c>
      <c r="D147" s="16">
        <v>46161</v>
      </c>
      <c r="E147" s="16">
        <v>46168</v>
      </c>
      <c r="F147" s="14" t="s">
        <v>2670</v>
      </c>
      <c r="G147" s="14"/>
      <c r="H147" s="14" t="s">
        <v>2659</v>
      </c>
      <c r="I147" s="15">
        <v>210.88</v>
      </c>
      <c r="J147" s="77">
        <v>2</v>
      </c>
      <c r="K147" s="92"/>
    </row>
    <row r="148" spans="1:11" ht="30.6" x14ac:dyDescent="0.25">
      <c r="A148" s="14" t="s">
        <v>2565</v>
      </c>
      <c r="B148" s="14" t="s">
        <v>2668</v>
      </c>
      <c r="C148" s="14" t="s">
        <v>2671</v>
      </c>
      <c r="D148" s="16">
        <v>46161</v>
      </c>
      <c r="E148" s="16">
        <v>46168</v>
      </c>
      <c r="F148" s="14" t="s">
        <v>2672</v>
      </c>
      <c r="G148" s="14"/>
      <c r="H148" s="14" t="s">
        <v>2673</v>
      </c>
      <c r="I148" s="15">
        <v>258.91000000000003</v>
      </c>
      <c r="J148" s="77">
        <v>2</v>
      </c>
      <c r="K148" s="92"/>
    </row>
    <row r="149" spans="1:11" ht="30.6" x14ac:dyDescent="0.25">
      <c r="A149" s="14" t="s">
        <v>2565</v>
      </c>
      <c r="B149" s="14" t="s">
        <v>2685</v>
      </c>
      <c r="C149" s="14" t="s">
        <v>2686</v>
      </c>
      <c r="D149" s="16">
        <v>46184</v>
      </c>
      <c r="E149" s="16"/>
      <c r="F149" s="14" t="s">
        <v>2687</v>
      </c>
      <c r="G149" s="14" t="s">
        <v>2323</v>
      </c>
      <c r="H149" s="14" t="s">
        <v>2582</v>
      </c>
      <c r="I149" s="15">
        <v>168</v>
      </c>
      <c r="J149" s="77">
        <v>2</v>
      </c>
      <c r="K149" s="92"/>
    </row>
    <row r="150" spans="1:11" ht="20.399999999999999" x14ac:dyDescent="0.25">
      <c r="A150" s="14" t="s">
        <v>2565</v>
      </c>
      <c r="B150" s="14" t="s">
        <v>2691</v>
      </c>
      <c r="C150" s="14" t="s">
        <v>2692</v>
      </c>
      <c r="D150" s="16">
        <v>46184</v>
      </c>
      <c r="E150" s="16"/>
      <c r="F150" s="14" t="s">
        <v>2693</v>
      </c>
      <c r="G150" s="14" t="s">
        <v>2323</v>
      </c>
      <c r="H150" s="14" t="s">
        <v>2582</v>
      </c>
      <c r="I150" s="15">
        <v>144</v>
      </c>
      <c r="J150" s="77">
        <v>2</v>
      </c>
      <c r="K150" s="92"/>
    </row>
    <row r="151" spans="1:11" ht="132.6" x14ac:dyDescent="0.25">
      <c r="A151" s="14" t="s">
        <v>2565</v>
      </c>
      <c r="B151" s="14"/>
      <c r="C151" s="14"/>
      <c r="D151" s="16"/>
      <c r="E151" s="16"/>
      <c r="F151" s="14" t="s">
        <v>2705</v>
      </c>
      <c r="G151" s="14"/>
      <c r="H151" s="14"/>
      <c r="I151" s="15"/>
      <c r="J151" s="77"/>
      <c r="K151" s="92"/>
    </row>
    <row r="152" spans="1:11" ht="20.399999999999999" x14ac:dyDescent="0.25">
      <c r="A152" s="14" t="s">
        <v>2565</v>
      </c>
      <c r="B152" s="14" t="s">
        <v>2706</v>
      </c>
      <c r="C152" s="14" t="s">
        <v>2707</v>
      </c>
      <c r="D152" s="16">
        <v>46066</v>
      </c>
      <c r="E152" s="16"/>
      <c r="F152" s="14" t="s">
        <v>2708</v>
      </c>
      <c r="G152" s="14"/>
      <c r="H152" s="14" t="s">
        <v>2709</v>
      </c>
      <c r="I152" s="15">
        <v>1050</v>
      </c>
      <c r="J152" s="77">
        <v>3</v>
      </c>
      <c r="K152" s="92"/>
    </row>
    <row r="153" spans="1:11" ht="20.399999999999999" x14ac:dyDescent="0.25">
      <c r="A153" s="14" t="s">
        <v>2565</v>
      </c>
      <c r="B153" s="14" t="s">
        <v>2710</v>
      </c>
      <c r="C153" s="14"/>
      <c r="D153" s="16">
        <v>46125</v>
      </c>
      <c r="E153" s="16">
        <v>46094</v>
      </c>
      <c r="F153" s="14" t="s">
        <v>2711</v>
      </c>
      <c r="G153" s="14"/>
      <c r="H153" s="14" t="s">
        <v>2612</v>
      </c>
      <c r="I153" s="15">
        <v>192.56</v>
      </c>
      <c r="J153" s="77">
        <v>3</v>
      </c>
      <c r="K153" s="92"/>
    </row>
    <row r="154" spans="1:11" ht="20.399999999999999" x14ac:dyDescent="0.25">
      <c r="A154" s="14" t="s">
        <v>2565</v>
      </c>
      <c r="B154" s="14" t="s">
        <v>2710</v>
      </c>
      <c r="C154" s="14" t="s">
        <v>2712</v>
      </c>
      <c r="D154" s="16">
        <v>46125</v>
      </c>
      <c r="E154" s="16">
        <v>46091</v>
      </c>
      <c r="F154" s="14" t="s">
        <v>2713</v>
      </c>
      <c r="G154" s="14"/>
      <c r="H154" s="14" t="s">
        <v>2612</v>
      </c>
      <c r="I154" s="15">
        <v>339.3</v>
      </c>
      <c r="J154" s="77">
        <v>3</v>
      </c>
      <c r="K154" s="92"/>
    </row>
    <row r="155" spans="1:11" ht="20.399999999999999" x14ac:dyDescent="0.25">
      <c r="A155" s="14" t="s">
        <v>2565</v>
      </c>
      <c r="B155" s="14" t="s">
        <v>2710</v>
      </c>
      <c r="C155" s="14"/>
      <c r="D155" s="16">
        <v>46125</v>
      </c>
      <c r="E155" s="16">
        <v>46091</v>
      </c>
      <c r="F155" s="14" t="s">
        <v>2715</v>
      </c>
      <c r="G155" s="14"/>
      <c r="H155" s="14" t="s">
        <v>2612</v>
      </c>
      <c r="I155" s="15">
        <v>29.23</v>
      </c>
      <c r="J155" s="77">
        <v>3</v>
      </c>
      <c r="K155" s="92"/>
    </row>
    <row r="156" spans="1:11" ht="30.6" x14ac:dyDescent="0.25">
      <c r="A156" s="14" t="s">
        <v>2565</v>
      </c>
      <c r="B156" s="14" t="s">
        <v>2716</v>
      </c>
      <c r="C156" s="14" t="s">
        <v>2717</v>
      </c>
      <c r="D156" s="16">
        <v>46153</v>
      </c>
      <c r="E156" s="16"/>
      <c r="F156" s="14" t="s">
        <v>2718</v>
      </c>
      <c r="G156" s="14" t="s">
        <v>2323</v>
      </c>
      <c r="H156" s="14" t="s">
        <v>2582</v>
      </c>
      <c r="I156" s="15">
        <v>212.4</v>
      </c>
      <c r="J156" s="77">
        <v>3</v>
      </c>
      <c r="K156" s="92"/>
    </row>
    <row r="157" spans="1:11" ht="13.2" x14ac:dyDescent="0.25">
      <c r="A157" s="14" t="s">
        <v>2565</v>
      </c>
      <c r="B157" s="14" t="s">
        <v>2674</v>
      </c>
      <c r="C157" s="14" t="s">
        <v>2675</v>
      </c>
      <c r="D157" s="16">
        <v>46173</v>
      </c>
      <c r="E157" s="16">
        <v>46173</v>
      </c>
      <c r="F157" s="14" t="s">
        <v>2593</v>
      </c>
      <c r="G157" s="14" t="s">
        <v>2594</v>
      </c>
      <c r="H157" s="14" t="s">
        <v>2595</v>
      </c>
      <c r="I157" s="15">
        <v>13</v>
      </c>
      <c r="J157" s="77">
        <v>4</v>
      </c>
      <c r="K157" s="92"/>
    </row>
    <row r="158" spans="1:11" ht="51" x14ac:dyDescent="0.25">
      <c r="A158" s="14" t="s">
        <v>2565</v>
      </c>
      <c r="B158" s="14" t="s">
        <v>2676</v>
      </c>
      <c r="C158" s="14" t="s">
        <v>2675</v>
      </c>
      <c r="D158" s="16">
        <v>46173</v>
      </c>
      <c r="E158" s="16"/>
      <c r="F158" s="14" t="s">
        <v>2621</v>
      </c>
      <c r="G158" s="14" t="s">
        <v>784</v>
      </c>
      <c r="H158" s="14" t="s">
        <v>2569</v>
      </c>
      <c r="I158" s="15">
        <v>1858.59</v>
      </c>
      <c r="J158" s="77">
        <v>3</v>
      </c>
      <c r="K158" s="92"/>
    </row>
    <row r="159" spans="1:11" ht="51" x14ac:dyDescent="0.25">
      <c r="A159" s="14" t="s">
        <v>2565</v>
      </c>
      <c r="B159" s="14" t="s">
        <v>2676</v>
      </c>
      <c r="C159" s="14" t="s">
        <v>2675</v>
      </c>
      <c r="D159" s="16">
        <v>46173</v>
      </c>
      <c r="E159" s="16"/>
      <c r="F159" s="14" t="s">
        <v>2621</v>
      </c>
      <c r="G159" s="14" t="s">
        <v>784</v>
      </c>
      <c r="H159" s="14" t="s">
        <v>2570</v>
      </c>
      <c r="I159" s="15">
        <v>718.8</v>
      </c>
      <c r="J159" s="77">
        <v>4</v>
      </c>
      <c r="K159" s="92"/>
    </row>
    <row r="160" spans="1:11" ht="51" x14ac:dyDescent="0.25">
      <c r="A160" s="14" t="s">
        <v>2565</v>
      </c>
      <c r="B160" s="14" t="s">
        <v>2676</v>
      </c>
      <c r="C160" s="14" t="s">
        <v>2675</v>
      </c>
      <c r="D160" s="16">
        <v>46173</v>
      </c>
      <c r="E160" s="16"/>
      <c r="F160" s="14" t="s">
        <v>2621</v>
      </c>
      <c r="G160" s="14" t="s">
        <v>784</v>
      </c>
      <c r="H160" s="14" t="s">
        <v>2598</v>
      </c>
      <c r="I160" s="15">
        <v>507.44</v>
      </c>
      <c r="J160" s="77">
        <v>3</v>
      </c>
      <c r="K160" s="92"/>
    </row>
    <row r="161" spans="1:11" ht="20.399999999999999" x14ac:dyDescent="0.25">
      <c r="A161" s="14" t="s">
        <v>2565</v>
      </c>
      <c r="B161" s="14" t="s">
        <v>2677</v>
      </c>
      <c r="C161" s="14" t="s">
        <v>2575</v>
      </c>
      <c r="D161" s="16">
        <v>46174</v>
      </c>
      <c r="E161" s="16"/>
      <c r="F161" s="14" t="s">
        <v>2678</v>
      </c>
      <c r="G161" s="14" t="s">
        <v>2577</v>
      </c>
      <c r="H161" s="14" t="s">
        <v>2578</v>
      </c>
      <c r="I161" s="15">
        <v>52.18</v>
      </c>
      <c r="J161" s="77">
        <v>3</v>
      </c>
      <c r="K161" s="92"/>
    </row>
    <row r="162" spans="1:11" ht="20.399999999999999" x14ac:dyDescent="0.25">
      <c r="A162" s="14" t="s">
        <v>2565</v>
      </c>
      <c r="B162" s="14" t="s">
        <v>2679</v>
      </c>
      <c r="C162" s="14" t="s">
        <v>2680</v>
      </c>
      <c r="D162" s="16">
        <v>46177</v>
      </c>
      <c r="E162" s="16"/>
      <c r="F162" s="14" t="s">
        <v>2681</v>
      </c>
      <c r="G162" s="14" t="s">
        <v>2589</v>
      </c>
      <c r="H162" s="14" t="s">
        <v>2590</v>
      </c>
      <c r="I162" s="15">
        <v>30.75</v>
      </c>
      <c r="J162" s="77">
        <v>4</v>
      </c>
      <c r="K162" s="92"/>
    </row>
    <row r="163" spans="1:11" ht="132.6" x14ac:dyDescent="0.25">
      <c r="A163" s="14" t="s">
        <v>2565</v>
      </c>
      <c r="B163" s="14"/>
      <c r="C163" s="14"/>
      <c r="D163" s="16"/>
      <c r="E163" s="16"/>
      <c r="F163" s="14" t="s">
        <v>2694</v>
      </c>
      <c r="G163" s="14"/>
      <c r="H163" s="14"/>
      <c r="I163" s="15"/>
      <c r="J163" s="77"/>
      <c r="K163" s="92"/>
    </row>
    <row r="164" spans="1:11" ht="30.6" x14ac:dyDescent="0.25">
      <c r="A164" s="14" t="s">
        <v>2565</v>
      </c>
      <c r="B164" s="14" t="s">
        <v>2695</v>
      </c>
      <c r="C164" s="14" t="s">
        <v>2696</v>
      </c>
      <c r="D164" s="16">
        <v>46185</v>
      </c>
      <c r="E164" s="16">
        <v>46179</v>
      </c>
      <c r="F164" s="14" t="s">
        <v>2697</v>
      </c>
      <c r="G164" s="14"/>
      <c r="H164" s="14" t="s">
        <v>2659</v>
      </c>
      <c r="I164" s="15">
        <v>203.84</v>
      </c>
      <c r="J164" s="77">
        <v>2</v>
      </c>
      <c r="K164" s="92"/>
    </row>
    <row r="165" spans="1:11" ht="30.6" x14ac:dyDescent="0.25">
      <c r="A165" s="14" t="s">
        <v>2565</v>
      </c>
      <c r="B165" s="14" t="s">
        <v>2698</v>
      </c>
      <c r="C165" s="14" t="s">
        <v>2699</v>
      </c>
      <c r="D165" s="16">
        <v>46188</v>
      </c>
      <c r="E165" s="16"/>
      <c r="F165" s="14" t="s">
        <v>2700</v>
      </c>
      <c r="G165" s="14" t="s">
        <v>2663</v>
      </c>
      <c r="H165" s="14" t="s">
        <v>2664</v>
      </c>
      <c r="I165" s="15">
        <v>161.93</v>
      </c>
      <c r="J165" s="77">
        <v>4</v>
      </c>
      <c r="K165" s="92"/>
    </row>
    <row r="166" spans="1:11" ht="13.2" x14ac:dyDescent="0.25">
      <c r="A166" s="14" t="s">
        <v>2565</v>
      </c>
      <c r="B166" s="14" t="s">
        <v>2701</v>
      </c>
      <c r="C166" s="14" t="s">
        <v>2702</v>
      </c>
      <c r="D166" s="16">
        <v>46203</v>
      </c>
      <c r="E166" s="16">
        <v>46203</v>
      </c>
      <c r="F166" s="14" t="s">
        <v>2593</v>
      </c>
      <c r="G166" s="14" t="s">
        <v>2594</v>
      </c>
      <c r="H166" s="14" t="s">
        <v>2595</v>
      </c>
      <c r="I166" s="15">
        <v>13</v>
      </c>
      <c r="J166" s="77">
        <v>4</v>
      </c>
      <c r="K166" s="92"/>
    </row>
    <row r="167" spans="1:11" ht="51" x14ac:dyDescent="0.25">
      <c r="A167" s="14" t="s">
        <v>2565</v>
      </c>
      <c r="B167" s="14" t="s">
        <v>2703</v>
      </c>
      <c r="C167" s="14" t="s">
        <v>2702</v>
      </c>
      <c r="D167" s="16">
        <v>46203</v>
      </c>
      <c r="E167" s="16"/>
      <c r="F167" s="14" t="s">
        <v>2704</v>
      </c>
      <c r="G167" s="14" t="s">
        <v>784</v>
      </c>
      <c r="H167" s="14" t="s">
        <v>2569</v>
      </c>
      <c r="I167" s="15">
        <v>1857.8</v>
      </c>
      <c r="J167" s="77">
        <v>3</v>
      </c>
      <c r="K167" s="92"/>
    </row>
    <row r="168" spans="1:11" ht="51" x14ac:dyDescent="0.25">
      <c r="A168" s="14" t="s">
        <v>2565</v>
      </c>
      <c r="B168" s="14" t="s">
        <v>2703</v>
      </c>
      <c r="C168" s="14" t="s">
        <v>2702</v>
      </c>
      <c r="D168" s="16">
        <v>46203</v>
      </c>
      <c r="E168" s="16"/>
      <c r="F168" s="14" t="s">
        <v>2704</v>
      </c>
      <c r="G168" s="14" t="s">
        <v>784</v>
      </c>
      <c r="H168" s="14" t="s">
        <v>2570</v>
      </c>
      <c r="I168" s="15">
        <v>718.8</v>
      </c>
      <c r="J168" s="77">
        <v>4</v>
      </c>
      <c r="K168" s="92"/>
    </row>
    <row r="169" spans="1:11" ht="51" x14ac:dyDescent="0.25">
      <c r="A169" s="14" t="s">
        <v>2565</v>
      </c>
      <c r="B169" s="14" t="s">
        <v>2703</v>
      </c>
      <c r="C169" s="14" t="s">
        <v>2702</v>
      </c>
      <c r="D169" s="16">
        <v>46203</v>
      </c>
      <c r="E169" s="16"/>
      <c r="F169" s="14" t="s">
        <v>2704</v>
      </c>
      <c r="G169" s="14" t="s">
        <v>784</v>
      </c>
      <c r="H169" s="14" t="s">
        <v>2598</v>
      </c>
      <c r="I169" s="15">
        <v>507.44</v>
      </c>
      <c r="J169" s="77">
        <v>3</v>
      </c>
      <c r="K169" s="92"/>
    </row>
    <row r="170" spans="1:11" ht="122.4" x14ac:dyDescent="0.25">
      <c r="A170" s="14" t="s">
        <v>2565</v>
      </c>
      <c r="B170" s="14"/>
      <c r="C170" s="14"/>
      <c r="D170" s="16"/>
      <c r="E170" s="16"/>
      <c r="F170" s="14" t="s">
        <v>2719</v>
      </c>
      <c r="G170" s="14"/>
      <c r="H170" s="14"/>
      <c r="I170" s="15"/>
      <c r="J170" s="77"/>
      <c r="K170" s="92"/>
    </row>
    <row r="171" spans="1:11" ht="20.399999999999999" x14ac:dyDescent="0.25">
      <c r="A171" s="14" t="s">
        <v>2565</v>
      </c>
      <c r="B171" s="14" t="s">
        <v>2720</v>
      </c>
      <c r="C171" s="14" t="s">
        <v>2721</v>
      </c>
      <c r="D171" s="16">
        <v>46174</v>
      </c>
      <c r="E171" s="16"/>
      <c r="F171" s="14" t="s">
        <v>2722</v>
      </c>
      <c r="G171" s="14"/>
      <c r="H171" s="14" t="s">
        <v>2649</v>
      </c>
      <c r="I171" s="15">
        <v>1800</v>
      </c>
      <c r="J171" s="77">
        <v>3</v>
      </c>
      <c r="K171" s="92"/>
    </row>
    <row r="172" spans="1:11" ht="20.399999999999999" x14ac:dyDescent="0.25">
      <c r="A172" s="14" t="s">
        <v>2565</v>
      </c>
      <c r="B172" s="14" t="s">
        <v>2723</v>
      </c>
      <c r="C172" s="14" t="s">
        <v>2724</v>
      </c>
      <c r="D172" s="16">
        <v>46183</v>
      </c>
      <c r="E172" s="16"/>
      <c r="F172" s="14" t="s">
        <v>2725</v>
      </c>
      <c r="G172" s="14" t="s">
        <v>2638</v>
      </c>
      <c r="H172" s="14" t="s">
        <v>2639</v>
      </c>
      <c r="I172" s="15">
        <v>1922.26</v>
      </c>
      <c r="J172" s="77">
        <v>3</v>
      </c>
      <c r="K172" s="92"/>
    </row>
    <row r="173" spans="1:11" ht="40.799999999999997" x14ac:dyDescent="0.25">
      <c r="A173" s="14" t="s">
        <v>2565</v>
      </c>
      <c r="B173" s="14" t="s">
        <v>2728</v>
      </c>
      <c r="C173" s="14" t="s">
        <v>2727</v>
      </c>
      <c r="D173" s="16">
        <v>46230</v>
      </c>
      <c r="E173" s="16"/>
      <c r="F173" s="14" t="s">
        <v>2729</v>
      </c>
      <c r="G173" s="14" t="s">
        <v>2652</v>
      </c>
      <c r="H173" s="14" t="s">
        <v>2653</v>
      </c>
      <c r="I173" s="15">
        <v>660.51</v>
      </c>
      <c r="J173" s="77">
        <v>3</v>
      </c>
      <c r="K173" s="92"/>
    </row>
    <row r="174" spans="1:11" ht="20.399999999999999" x14ac:dyDescent="0.25">
      <c r="A174" s="14" t="s">
        <v>2565</v>
      </c>
      <c r="B174" s="14" t="s">
        <v>2730</v>
      </c>
      <c r="C174" s="14" t="s">
        <v>2731</v>
      </c>
      <c r="D174" s="16">
        <v>46209</v>
      </c>
      <c r="E174" s="16"/>
      <c r="F174" s="14" t="s">
        <v>2732</v>
      </c>
      <c r="G174" s="14" t="s">
        <v>2663</v>
      </c>
      <c r="H174" s="14" t="s">
        <v>2664</v>
      </c>
      <c r="I174" s="15">
        <v>54.22</v>
      </c>
      <c r="J174" s="77">
        <v>4</v>
      </c>
      <c r="K174" s="92"/>
    </row>
    <row r="175" spans="1:11" ht="20.399999999999999" x14ac:dyDescent="0.25">
      <c r="A175" s="14" t="s">
        <v>2565</v>
      </c>
      <c r="B175" s="14" t="s">
        <v>2733</v>
      </c>
      <c r="C175" s="14" t="s">
        <v>2575</v>
      </c>
      <c r="D175" s="16">
        <v>46211</v>
      </c>
      <c r="E175" s="16"/>
      <c r="F175" s="14" t="s">
        <v>2734</v>
      </c>
      <c r="G175" s="14" t="s">
        <v>2577</v>
      </c>
      <c r="H175" s="14" t="s">
        <v>2578</v>
      </c>
      <c r="I175" s="15">
        <v>55.48</v>
      </c>
      <c r="J175" s="77">
        <v>3</v>
      </c>
      <c r="K175" s="92"/>
    </row>
    <row r="176" spans="1:11" ht="13.2" x14ac:dyDescent="0.25">
      <c r="A176" s="14" t="s">
        <v>2565</v>
      </c>
      <c r="B176" s="14" t="s">
        <v>2735</v>
      </c>
      <c r="C176" s="14" t="s">
        <v>2736</v>
      </c>
      <c r="D176" s="16">
        <v>46211</v>
      </c>
      <c r="E176" s="16"/>
      <c r="F176" s="14" t="s">
        <v>2737</v>
      </c>
      <c r="G176" s="14" t="s">
        <v>2616</v>
      </c>
      <c r="H176" s="14" t="s">
        <v>2617</v>
      </c>
      <c r="I176" s="15">
        <v>72</v>
      </c>
      <c r="J176" s="77">
        <v>4</v>
      </c>
      <c r="K176" s="92"/>
    </row>
    <row r="177" spans="1:11" ht="20.399999999999999" x14ac:dyDescent="0.25">
      <c r="A177" s="14" t="s">
        <v>2565</v>
      </c>
      <c r="B177" s="14" t="s">
        <v>2738</v>
      </c>
      <c r="C177" s="14" t="s">
        <v>2739</v>
      </c>
      <c r="D177" s="16">
        <v>46216</v>
      </c>
      <c r="E177" s="16"/>
      <c r="F177" s="14" t="s">
        <v>2740</v>
      </c>
      <c r="G177" s="14" t="s">
        <v>2589</v>
      </c>
      <c r="H177" s="14" t="s">
        <v>2590</v>
      </c>
      <c r="I177" s="15">
        <v>30.75</v>
      </c>
      <c r="J177" s="77">
        <v>4</v>
      </c>
      <c r="K177" s="92"/>
    </row>
    <row r="178" spans="1:11" ht="30.6" x14ac:dyDescent="0.25">
      <c r="A178" s="14" t="s">
        <v>2565</v>
      </c>
      <c r="B178" s="14" t="s">
        <v>2741</v>
      </c>
      <c r="C178" s="14" t="s">
        <v>2742</v>
      </c>
      <c r="D178" s="16">
        <v>46225</v>
      </c>
      <c r="E178" s="16"/>
      <c r="F178" s="14" t="s">
        <v>2743</v>
      </c>
      <c r="G178" s="14" t="s">
        <v>2323</v>
      </c>
      <c r="H178" s="14" t="s">
        <v>2582</v>
      </c>
      <c r="I178" s="15">
        <v>1447.2</v>
      </c>
      <c r="J178" s="77">
        <v>1</v>
      </c>
      <c r="K178" s="92"/>
    </row>
    <row r="179" spans="1:11" ht="30.6" x14ac:dyDescent="0.25">
      <c r="A179" s="14" t="s">
        <v>2565</v>
      </c>
      <c r="B179" s="14" t="s">
        <v>2744</v>
      </c>
      <c r="C179" s="14" t="s">
        <v>2745</v>
      </c>
      <c r="D179" s="16">
        <v>46225</v>
      </c>
      <c r="E179" s="16"/>
      <c r="F179" s="14" t="s">
        <v>2746</v>
      </c>
      <c r="G179" s="14" t="s">
        <v>2323</v>
      </c>
      <c r="H179" s="14" t="s">
        <v>2582</v>
      </c>
      <c r="I179" s="15">
        <v>1780.63</v>
      </c>
      <c r="J179" s="77">
        <v>1</v>
      </c>
      <c r="K179" s="92"/>
    </row>
    <row r="180" spans="1:11" ht="30.6" x14ac:dyDescent="0.25">
      <c r="A180" s="14" t="s">
        <v>2565</v>
      </c>
      <c r="B180" s="14" t="s">
        <v>2747</v>
      </c>
      <c r="C180" s="14" t="s">
        <v>2748</v>
      </c>
      <c r="D180" s="16">
        <v>46225</v>
      </c>
      <c r="E180" s="16"/>
      <c r="F180" s="14" t="s">
        <v>2749</v>
      </c>
      <c r="G180" s="14" t="s">
        <v>2323</v>
      </c>
      <c r="H180" s="14" t="s">
        <v>2582</v>
      </c>
      <c r="I180" s="15">
        <v>1656</v>
      </c>
      <c r="J180" s="77">
        <v>1</v>
      </c>
      <c r="K180" s="92"/>
    </row>
    <row r="181" spans="1:11" ht="30.6" x14ac:dyDescent="0.25">
      <c r="A181" s="14" t="s">
        <v>2565</v>
      </c>
      <c r="B181" s="14" t="s">
        <v>2750</v>
      </c>
      <c r="C181" s="14" t="s">
        <v>2751</v>
      </c>
      <c r="D181" s="16">
        <v>46225</v>
      </c>
      <c r="E181" s="16"/>
      <c r="F181" s="14" t="s">
        <v>2752</v>
      </c>
      <c r="G181" s="14" t="s">
        <v>2323</v>
      </c>
      <c r="H181" s="14" t="s">
        <v>2582</v>
      </c>
      <c r="I181" s="15">
        <v>1770.6</v>
      </c>
      <c r="J181" s="77">
        <v>1</v>
      </c>
      <c r="K181" s="92"/>
    </row>
    <row r="182" spans="1:11" ht="20.399999999999999" x14ac:dyDescent="0.25">
      <c r="A182" s="14" t="s">
        <v>2565</v>
      </c>
      <c r="B182" s="14" t="s">
        <v>2753</v>
      </c>
      <c r="C182" s="14" t="s">
        <v>2754</v>
      </c>
      <c r="D182" s="16">
        <v>46225</v>
      </c>
      <c r="E182" s="16"/>
      <c r="F182" s="14" t="s">
        <v>2755</v>
      </c>
      <c r="G182" s="14" t="s">
        <v>2323</v>
      </c>
      <c r="H182" s="14" t="s">
        <v>2582</v>
      </c>
      <c r="I182" s="15">
        <v>144</v>
      </c>
      <c r="J182" s="77">
        <v>2</v>
      </c>
      <c r="K182" s="92"/>
    </row>
    <row r="183" spans="1:11" ht="20.399999999999999" x14ac:dyDescent="0.25">
      <c r="A183" s="14" t="s">
        <v>2565</v>
      </c>
      <c r="B183" s="14" t="s">
        <v>2756</v>
      </c>
      <c r="C183" s="14" t="s">
        <v>2757</v>
      </c>
      <c r="D183" s="16">
        <v>46227</v>
      </c>
      <c r="E183" s="16">
        <v>46225</v>
      </c>
      <c r="F183" s="14" t="s">
        <v>2758</v>
      </c>
      <c r="G183" s="14" t="s">
        <v>2759</v>
      </c>
      <c r="H183" s="14" t="s">
        <v>2760</v>
      </c>
      <c r="I183" s="15">
        <v>29.6</v>
      </c>
      <c r="J183" s="77">
        <v>4</v>
      </c>
      <c r="K183" s="92"/>
    </row>
    <row r="184" spans="1:11" ht="20.399999999999999" x14ac:dyDescent="0.25">
      <c r="A184" s="14" t="s">
        <v>2565</v>
      </c>
      <c r="B184" s="14" t="s">
        <v>2726</v>
      </c>
      <c r="C184" s="14" t="s">
        <v>2575</v>
      </c>
      <c r="D184" s="16">
        <v>46230</v>
      </c>
      <c r="E184" s="16"/>
      <c r="F184" s="14" t="s">
        <v>2761</v>
      </c>
      <c r="G184" s="14" t="s">
        <v>2577</v>
      </c>
      <c r="H184" s="14" t="s">
        <v>2578</v>
      </c>
      <c r="I184" s="15">
        <v>50.98</v>
      </c>
      <c r="J184" s="77">
        <v>3</v>
      </c>
      <c r="K184" s="92"/>
    </row>
    <row r="185" spans="1:11" ht="13.2" x14ac:dyDescent="0.25">
      <c r="A185" s="14" t="s">
        <v>2565</v>
      </c>
      <c r="B185" s="14" t="s">
        <v>2762</v>
      </c>
      <c r="C185" s="14" t="s">
        <v>2763</v>
      </c>
      <c r="D185" s="16">
        <v>46234</v>
      </c>
      <c r="E185" s="16">
        <v>46234</v>
      </c>
      <c r="F185" s="14" t="s">
        <v>2593</v>
      </c>
      <c r="G185" s="14" t="s">
        <v>2594</v>
      </c>
      <c r="H185" s="14" t="s">
        <v>2595</v>
      </c>
      <c r="I185" s="15">
        <v>13</v>
      </c>
      <c r="J185" s="77">
        <v>4</v>
      </c>
      <c r="K185" s="92"/>
    </row>
    <row r="186" spans="1:11" ht="51" x14ac:dyDescent="0.25">
      <c r="A186" s="14" t="s">
        <v>2565</v>
      </c>
      <c r="B186" s="14" t="s">
        <v>2764</v>
      </c>
      <c r="C186" s="14" t="s">
        <v>2763</v>
      </c>
      <c r="D186" s="16">
        <v>46234</v>
      </c>
      <c r="E186" s="16"/>
      <c r="F186" s="14" t="s">
        <v>2765</v>
      </c>
      <c r="G186" s="14" t="s">
        <v>784</v>
      </c>
      <c r="H186" s="14" t="s">
        <v>2569</v>
      </c>
      <c r="I186" s="15">
        <v>1857.8</v>
      </c>
      <c r="J186" s="77">
        <v>3</v>
      </c>
      <c r="K186" s="92"/>
    </row>
    <row r="187" spans="1:11" ht="51" x14ac:dyDescent="0.25">
      <c r="A187" s="14" t="s">
        <v>2565</v>
      </c>
      <c r="B187" s="14" t="s">
        <v>2764</v>
      </c>
      <c r="C187" s="14" t="s">
        <v>2763</v>
      </c>
      <c r="D187" s="16">
        <v>46234</v>
      </c>
      <c r="E187" s="16"/>
      <c r="F187" s="14" t="s">
        <v>2765</v>
      </c>
      <c r="G187" s="14" t="s">
        <v>784</v>
      </c>
      <c r="H187" s="14" t="s">
        <v>2570</v>
      </c>
      <c r="I187" s="15">
        <v>718.8</v>
      </c>
      <c r="J187" s="77">
        <v>4</v>
      </c>
      <c r="K187" s="92"/>
    </row>
    <row r="188" spans="1:11" ht="51" x14ac:dyDescent="0.25">
      <c r="A188" s="14" t="s">
        <v>2565</v>
      </c>
      <c r="B188" s="14" t="s">
        <v>2764</v>
      </c>
      <c r="C188" s="14" t="s">
        <v>2763</v>
      </c>
      <c r="D188" s="16">
        <v>46234</v>
      </c>
      <c r="E188" s="16"/>
      <c r="F188" s="14" t="s">
        <v>2765</v>
      </c>
      <c r="G188" s="14" t="s">
        <v>784</v>
      </c>
      <c r="H188" s="14" t="s">
        <v>2598</v>
      </c>
      <c r="I188" s="15">
        <v>507.44</v>
      </c>
      <c r="J188" s="77">
        <v>3</v>
      </c>
      <c r="K188" s="92"/>
    </row>
    <row r="189" spans="1:11" ht="13.2" x14ac:dyDescent="0.25">
      <c r="A189" s="14" t="s">
        <v>2565</v>
      </c>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x14ac:dyDescent="0.2">
      <c r="A4498" s="14"/>
      <c r="B4498" s="14"/>
      <c r="C4498" s="14"/>
      <c r="D4498" s="16"/>
      <c r="E4498" s="16"/>
      <c r="F4498" s="14"/>
      <c r="G4498" s="14"/>
      <c r="H4498" s="14"/>
      <c r="I4498" s="15"/>
      <c r="J4498" s="77"/>
    </row>
    <row r="4499" spans="1:11" x14ac:dyDescent="0.2">
      <c r="A4499" s="14"/>
      <c r="B4499" s="14"/>
      <c r="C4499" s="14"/>
      <c r="D4499" s="16"/>
      <c r="E4499" s="16"/>
      <c r="F4499" s="14"/>
      <c r="G4499" s="14"/>
      <c r="H4499" s="14"/>
      <c r="I4499" s="15"/>
      <c r="J4499" s="77"/>
    </row>
    <row r="4500" spans="1:11" x14ac:dyDescent="0.2">
      <c r="A4500" s="14"/>
      <c r="B4500" s="14"/>
      <c r="C4500" s="14"/>
      <c r="D4500" s="16"/>
      <c r="E4500" s="16"/>
      <c r="F4500" s="14"/>
      <c r="G4500" s="14"/>
      <c r="H4500" s="14"/>
      <c r="I4500" s="15"/>
      <c r="J4500" s="77"/>
    </row>
    <row r="4501" spans="1:11" x14ac:dyDescent="0.2">
      <c r="A4501" s="14"/>
      <c r="B4501" s="14"/>
      <c r="C4501" s="14"/>
      <c r="D4501" s="16"/>
      <c r="E4501" s="16"/>
      <c r="F4501" s="14"/>
      <c r="G4501" s="14"/>
      <c r="H4501" s="14"/>
      <c r="I4501" s="15"/>
      <c r="J4501" s="77"/>
    </row>
    <row r="4502" spans="1:11" x14ac:dyDescent="0.2">
      <c r="A4502" s="14"/>
      <c r="B4502" s="14"/>
      <c r="C4502" s="14"/>
      <c r="D4502" s="16"/>
      <c r="E4502" s="16"/>
      <c r="F4502" s="14"/>
      <c r="G4502" s="14"/>
      <c r="H4502" s="14"/>
      <c r="I4502" s="15"/>
      <c r="J4502" s="77"/>
    </row>
    <row r="4503" spans="1:11" x14ac:dyDescent="0.2">
      <c r="A4503" s="14"/>
      <c r="B4503" s="14"/>
      <c r="C4503" s="14"/>
      <c r="D4503" s="16"/>
      <c r="E4503" s="16"/>
      <c r="F4503" s="14"/>
      <c r="G4503" s="14"/>
      <c r="H4503" s="14"/>
      <c r="I4503" s="15"/>
      <c r="J4503" s="77"/>
    </row>
    <row r="4504" spans="1:11" x14ac:dyDescent="0.2">
      <c r="A4504" s="14"/>
      <c r="B4504" s="14"/>
      <c r="C4504" s="14"/>
      <c r="D4504" s="16"/>
      <c r="E4504" s="16"/>
      <c r="F4504" s="14"/>
      <c r="G4504" s="14"/>
      <c r="H4504" s="14"/>
      <c r="I4504" s="15"/>
      <c r="J4504" s="77"/>
    </row>
    <row r="4505" spans="1:11" x14ac:dyDescent="0.2">
      <c r="A4505" s="14"/>
      <c r="B4505" s="14"/>
      <c r="C4505" s="14"/>
      <c r="D4505" s="16"/>
      <c r="E4505" s="16"/>
      <c r="F4505" s="14"/>
      <c r="G4505" s="14"/>
      <c r="H4505" s="14"/>
      <c r="I4505" s="15"/>
      <c r="J4505" s="77"/>
    </row>
    <row r="4506" spans="1:11" x14ac:dyDescent="0.2">
      <c r="A4506" s="14"/>
      <c r="B4506" s="14"/>
      <c r="C4506" s="14"/>
      <c r="D4506" s="16"/>
      <c r="E4506" s="16"/>
      <c r="F4506" s="14"/>
      <c r="G4506" s="14"/>
      <c r="H4506" s="14"/>
      <c r="I4506" s="15"/>
      <c r="J4506" s="77"/>
    </row>
    <row r="4507" spans="1:11" x14ac:dyDescent="0.2">
      <c r="A4507" s="14"/>
      <c r="B4507" s="14"/>
      <c r="C4507" s="14"/>
      <c r="D4507" s="16"/>
      <c r="E4507" s="16"/>
      <c r="F4507" s="14"/>
      <c r="G4507" s="14"/>
      <c r="H4507" s="14"/>
      <c r="I4507" s="15"/>
      <c r="J4507" s="77"/>
    </row>
    <row r="4508" spans="1:11" x14ac:dyDescent="0.2">
      <c r="A4508" s="14"/>
      <c r="B4508" s="14"/>
      <c r="C4508" s="14"/>
      <c r="D4508" s="16"/>
      <c r="E4508" s="16"/>
      <c r="F4508" s="14"/>
      <c r="G4508" s="14"/>
      <c r="H4508" s="14"/>
      <c r="I4508" s="15"/>
      <c r="J4508" s="77"/>
    </row>
    <row r="4509" spans="1:11" x14ac:dyDescent="0.2">
      <c r="A4509" s="14"/>
      <c r="B4509" s="14"/>
      <c r="C4509" s="14"/>
      <c r="D4509" s="16"/>
      <c r="E4509" s="16"/>
      <c r="F4509" s="14"/>
      <c r="G4509" s="14"/>
      <c r="H4509" s="14"/>
      <c r="I4509" s="15"/>
      <c r="J4509" s="77"/>
    </row>
    <row r="4510" spans="1:11" x14ac:dyDescent="0.2">
      <c r="A4510" s="14"/>
      <c r="B4510" s="14"/>
      <c r="C4510" s="14"/>
      <c r="D4510" s="16"/>
      <c r="E4510" s="16"/>
      <c r="F4510" s="14"/>
      <c r="G4510" s="14"/>
      <c r="H4510" s="14"/>
      <c r="I4510" s="15"/>
      <c r="J4510" s="77"/>
    </row>
    <row r="4511" spans="1:11" x14ac:dyDescent="0.2">
      <c r="A4511" s="14"/>
      <c r="B4511" s="14"/>
      <c r="C4511" s="14"/>
      <c r="D4511" s="16"/>
      <c r="E4511" s="16"/>
      <c r="F4511" s="14"/>
      <c r="G4511" s="14"/>
      <c r="H4511" s="14"/>
      <c r="I4511" s="15"/>
      <c r="J4511" s="77"/>
    </row>
    <row r="4512" spans="1:11"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sheetData>
  <dataConsolidate/>
  <mergeCells count="5">
    <mergeCell ref="A100:H100"/>
    <mergeCell ref="I101:J101"/>
    <mergeCell ref="I100:J100"/>
    <mergeCell ref="A101:H101"/>
    <mergeCell ref="A105:J105"/>
  </mergeCells>
  <conditionalFormatting sqref="A1123:H1124">
    <cfRule type="expression" dxfId="87" priority="47" stopIfTrue="1">
      <formula>$A1123&lt;&gt;""</formula>
    </cfRule>
  </conditionalFormatting>
  <conditionalFormatting sqref="A107:J5011">
    <cfRule type="expression" dxfId="86" priority="36" stopIfTrue="1">
      <formula>$A107&lt;&gt;""</formula>
    </cfRule>
  </conditionalFormatting>
  <conditionalFormatting sqref="B483:E488">
    <cfRule type="expression" dxfId="85" priority="138" stopIfTrue="1">
      <formula>$A483&lt;&gt;""</formula>
    </cfRule>
  </conditionalFormatting>
  <conditionalFormatting sqref="B495:E499">
    <cfRule type="expression" dxfId="84" priority="173" stopIfTrue="1">
      <formula>$A495&lt;&gt;""</formula>
    </cfRule>
  </conditionalFormatting>
  <conditionalFormatting sqref="B700:E700">
    <cfRule type="expression" dxfId="83" priority="65" stopIfTrue="1">
      <formula>$A700&lt;&gt;""</formula>
    </cfRule>
  </conditionalFormatting>
  <conditionalFormatting sqref="B702:E702 H702:I702 B703:I704 B705:E710 H705:I710">
    <cfRule type="expression" dxfId="82" priority="25" stopIfTrue="1">
      <formula>$A702&lt;&gt;""</formula>
    </cfRule>
  </conditionalFormatting>
  <conditionalFormatting sqref="B712:E712 H712:I712">
    <cfRule type="expression" dxfId="81" priority="16" stopIfTrue="1">
      <formula>$A712&lt;&gt;""</formula>
    </cfRule>
  </conditionalFormatting>
  <conditionalFormatting sqref="B830:E830">
    <cfRule type="expression" dxfId="80" priority="88" stopIfTrue="1">
      <formula>$A830&lt;&gt;""</formula>
    </cfRule>
  </conditionalFormatting>
  <conditionalFormatting sqref="B1121:E1121">
    <cfRule type="expression" dxfId="79" priority="134" stopIfTrue="1">
      <formula>$A1121&lt;&gt;""</formula>
    </cfRule>
  </conditionalFormatting>
  <conditionalFormatting sqref="B1125:E1125">
    <cfRule type="expression" dxfId="78" priority="190" stopIfTrue="1">
      <formula>$A1125&lt;&gt;""</formula>
    </cfRule>
  </conditionalFormatting>
  <conditionalFormatting sqref="B1142:E1147">
    <cfRule type="expression" dxfId="77" priority="180" stopIfTrue="1">
      <formula>$A1142&lt;&gt;""</formula>
    </cfRule>
  </conditionalFormatting>
  <conditionalFormatting sqref="B1149:E1159">
    <cfRule type="expression" dxfId="76" priority="48" stopIfTrue="1">
      <formula>$A1149&lt;&gt;""</formula>
    </cfRule>
  </conditionalFormatting>
  <conditionalFormatting sqref="B1163:E1163">
    <cfRule type="expression" dxfId="75" priority="74" stopIfTrue="1">
      <formula>$A1163&lt;&gt;""</formula>
    </cfRule>
  </conditionalFormatting>
  <conditionalFormatting sqref="B1264:E1271 I1264:J1281">
    <cfRule type="expression" dxfId="74" priority="124" stopIfTrue="1">
      <formula>$A1264&lt;&gt;""</formula>
    </cfRule>
  </conditionalFormatting>
  <conditionalFormatting sqref="B1304:E1312">
    <cfRule type="expression" dxfId="73" priority="159" stopIfTrue="1">
      <formula>$A1304&lt;&gt;""</formula>
    </cfRule>
  </conditionalFormatting>
  <conditionalFormatting sqref="B1314:E1337">
    <cfRule type="expression" dxfId="72" priority="38" stopIfTrue="1">
      <formula>$A1314&lt;&gt;""</formula>
    </cfRule>
  </conditionalFormatting>
  <conditionalFormatting sqref="B1371:E1374">
    <cfRule type="expression" dxfId="71" priority="55" stopIfTrue="1">
      <formula>$A1371&lt;&gt;""</formula>
    </cfRule>
  </conditionalFormatting>
  <conditionalFormatting sqref="B1376:E1378">
    <cfRule type="expression" dxfId="70" priority="260" stopIfTrue="1">
      <formula>$A1376&lt;&gt;""</formula>
    </cfRule>
  </conditionalFormatting>
  <conditionalFormatting sqref="B1380:E1390">
    <cfRule type="expression" dxfId="69" priority="79" stopIfTrue="1">
      <formula>$A1380&lt;&gt;""</formula>
    </cfRule>
  </conditionalFormatting>
  <conditionalFormatting sqref="B1404:E1415">
    <cfRule type="expression" dxfId="68" priority="117" stopIfTrue="1">
      <formula>$A1404&lt;&gt;""</formula>
    </cfRule>
  </conditionalFormatting>
  <conditionalFormatting sqref="B1423:E1461">
    <cfRule type="expression" dxfId="67" priority="154" stopIfTrue="1">
      <formula>$A1423&lt;&gt;""</formula>
    </cfRule>
  </conditionalFormatting>
  <conditionalFormatting sqref="B1464:E1469">
    <cfRule type="expression" dxfId="66" priority="224" stopIfTrue="1">
      <formula>$A1464&lt;&gt;""</formula>
    </cfRule>
  </conditionalFormatting>
  <conditionalFormatting sqref="B500:G500">
    <cfRule type="expression" dxfId="65" priority="174" stopIfTrue="1">
      <formula>$A500&lt;&gt;""</formula>
    </cfRule>
  </conditionalFormatting>
  <conditionalFormatting sqref="B489:H494">
    <cfRule type="expression" dxfId="64" priority="194" stopIfTrue="1">
      <formula>$A489&lt;&gt;""</formula>
    </cfRule>
  </conditionalFormatting>
  <conditionalFormatting sqref="B501:H507">
    <cfRule type="expression" dxfId="63" priority="150" stopIfTrue="1">
      <formula>$A501&lt;&gt;""</formula>
    </cfRule>
  </conditionalFormatting>
  <conditionalFormatting sqref="B1078:H1093">
    <cfRule type="expression" dxfId="62" priority="220" stopIfTrue="1">
      <formula>$A1078&lt;&gt;""</formula>
    </cfRule>
  </conditionalFormatting>
  <conditionalFormatting sqref="B1283:H1285 B1286:E1299 H1286:H1299">
    <cfRule type="expression" dxfId="61" priority="149" stopIfTrue="1">
      <formula>$A1283&lt;&gt;""</formula>
    </cfRule>
  </conditionalFormatting>
  <conditionalFormatting sqref="B1301:H1303">
    <cfRule type="expression" dxfId="60" priority="44" stopIfTrue="1">
      <formula>$A1301&lt;&gt;""</formula>
    </cfRule>
  </conditionalFormatting>
  <conditionalFormatting sqref="B1375:H1375">
    <cfRule type="expression" dxfId="59" priority="290" stopIfTrue="1">
      <formula>$A1375&lt;&gt;""</formula>
    </cfRule>
  </conditionalFormatting>
  <conditionalFormatting sqref="B1391:H1396">
    <cfRule type="expression" dxfId="58" priority="18" stopIfTrue="1">
      <formula>$A1391&lt;&gt;""</formula>
    </cfRule>
  </conditionalFormatting>
  <conditionalFormatting sqref="B1421:H1422">
    <cfRule type="expression" dxfId="57" priority="197" stopIfTrue="1">
      <formula>$A1421&lt;&gt;""</formula>
    </cfRule>
  </conditionalFormatting>
  <conditionalFormatting sqref="B186:I200 I201:I238 B201:E252">
    <cfRule type="expression" dxfId="56" priority="247" stopIfTrue="1">
      <formula>$A186&lt;&gt;""</formula>
    </cfRule>
  </conditionalFormatting>
  <conditionalFormatting sqref="B253:I253 B254:E286">
    <cfRule type="expression" dxfId="55" priority="261" stopIfTrue="1">
      <formula>$A253&lt;&gt;""</formula>
    </cfRule>
  </conditionalFormatting>
  <conditionalFormatting sqref="B287:I331">
    <cfRule type="expression" dxfId="54" priority="94" stopIfTrue="1">
      <formula>$A287&lt;&gt;""</formula>
    </cfRule>
  </conditionalFormatting>
  <conditionalFormatting sqref="B508:I510">
    <cfRule type="expression" dxfId="53" priority="96" stopIfTrue="1">
      <formula>$A508&lt;&gt;""</formula>
    </cfRule>
  </conditionalFormatting>
  <conditionalFormatting sqref="B656:I699">
    <cfRule type="expression" dxfId="52" priority="257" stopIfTrue="1">
      <formula>$A656&lt;&gt;""</formula>
    </cfRule>
  </conditionalFormatting>
  <conditionalFormatting sqref="B701:I701">
    <cfRule type="expression" dxfId="51" priority="23" stopIfTrue="1">
      <formula>$A701&lt;&gt;""</formula>
    </cfRule>
  </conditionalFormatting>
  <conditionalFormatting sqref="B1148:I1148">
    <cfRule type="expression" dxfId="50" priority="148" stopIfTrue="1">
      <formula>$A1148&lt;&gt;""</formula>
    </cfRule>
  </conditionalFormatting>
  <conditionalFormatting sqref="B1160:I1162">
    <cfRule type="expression" dxfId="49" priority="17" stopIfTrue="1">
      <formula>$A1160&lt;&gt;""</formula>
    </cfRule>
  </conditionalFormatting>
  <conditionalFormatting sqref="B1164:I1168">
    <cfRule type="expression" dxfId="48" priority="19" stopIfTrue="1">
      <formula>$A1164&lt;&gt;""</formula>
    </cfRule>
  </conditionalFormatting>
  <conditionalFormatting sqref="B1282:I1282 I1283:I1299">
    <cfRule type="expression" dxfId="47" priority="152" stopIfTrue="1">
      <formula>$A1282&lt;&gt;""</formula>
    </cfRule>
  </conditionalFormatting>
  <conditionalFormatting sqref="B1379:I1379">
    <cfRule type="expression" dxfId="46" priority="147" stopIfTrue="1">
      <formula>$A1379&lt;&gt;""</formula>
    </cfRule>
  </conditionalFormatting>
  <conditionalFormatting sqref="B371:J431">
    <cfRule type="expression" dxfId="45" priority="262" stopIfTrue="1">
      <formula>$A371&lt;&gt;""</formula>
    </cfRule>
  </conditionalFormatting>
  <conditionalFormatting sqref="B468:J469">
    <cfRule type="expression" dxfId="44" priority="223" stopIfTrue="1">
      <formula>$A468&lt;&gt;""</formula>
    </cfRule>
  </conditionalFormatting>
  <conditionalFormatting sqref="B610:J636">
    <cfRule type="expression" dxfId="43" priority="3" stopIfTrue="1">
      <formula>$A610&lt;&gt;""</formula>
    </cfRule>
  </conditionalFormatting>
  <conditionalFormatting sqref="B1064:J1065">
    <cfRule type="expression" dxfId="42" priority="218" stopIfTrue="1">
      <formula>$A1064&lt;&gt;""</formula>
    </cfRule>
  </conditionalFormatting>
  <conditionalFormatting sqref="B1138:J1141">
    <cfRule type="expression" dxfId="41" priority="8" stopIfTrue="1">
      <formula>$A1138&lt;&gt;""</formula>
    </cfRule>
  </conditionalFormatting>
  <conditionalFormatting sqref="B1169:J1263">
    <cfRule type="expression" dxfId="40" priority="34" stopIfTrue="1">
      <formula>$A1169&lt;&gt;""</formula>
    </cfRule>
  </conditionalFormatting>
  <conditionalFormatting sqref="B1417:J1417">
    <cfRule type="expression" dxfId="39" priority="199" stopIfTrue="1">
      <formula>$A1417&lt;&gt;""</formula>
    </cfRule>
  </conditionalFormatting>
  <conditionalFormatting sqref="B1472:J4385">
    <cfRule type="expression" dxfId="38" priority="43" stopIfTrue="1">
      <formula>$A1472&lt;&gt;""</formula>
    </cfRule>
  </conditionalFormatting>
  <conditionalFormatting sqref="D186:D188">
    <cfRule type="expression" dxfId="37" priority="1" stopIfTrue="1">
      <formula>$A186&lt;&gt;""</formula>
    </cfRule>
  </conditionalFormatting>
  <conditionalFormatting sqref="F202:H206">
    <cfRule type="expression" dxfId="36" priority="125" stopIfTrue="1">
      <formula>$A202&lt;&gt;""</formula>
    </cfRule>
  </conditionalFormatting>
  <conditionalFormatting sqref="F209:H210">
    <cfRule type="expression" dxfId="35" priority="119" stopIfTrue="1">
      <formula>$A209&lt;&gt;""</formula>
    </cfRule>
  </conditionalFormatting>
  <conditionalFormatting sqref="F483:H484">
    <cfRule type="expression" dxfId="34" priority="140" stopIfTrue="1">
      <formula>$A483&lt;&gt;""</formula>
    </cfRule>
  </conditionalFormatting>
  <conditionalFormatting sqref="F487:H488">
    <cfRule type="expression" dxfId="33" priority="230" stopIfTrue="1">
      <formula>$A487&lt;&gt;""</formula>
    </cfRule>
  </conditionalFormatting>
  <conditionalFormatting sqref="F495:H497 H498:H500">
    <cfRule type="expression" dxfId="32" priority="172" stopIfTrue="1">
      <formula>$A495&lt;&gt;""</formula>
    </cfRule>
  </conditionalFormatting>
  <conditionalFormatting sqref="F1142:H1142">
    <cfRule type="expression" dxfId="31" priority="281" stopIfTrue="1">
      <formula>$A1142&lt;&gt;""</formula>
    </cfRule>
  </conditionalFormatting>
  <conditionalFormatting sqref="F1266:H1271">
    <cfRule type="expression" dxfId="30" priority="123" stopIfTrue="1">
      <formula>$A1266&lt;&gt;""</formula>
    </cfRule>
  </conditionalFormatting>
  <conditionalFormatting sqref="F181:I183">
    <cfRule type="expression" dxfId="29" priority="251" stopIfTrue="1">
      <formula>$A181&lt;&gt;""</formula>
    </cfRule>
  </conditionalFormatting>
  <conditionalFormatting sqref="F258:I258">
    <cfRule type="expression" dxfId="28" priority="151" stopIfTrue="1">
      <formula>$A258&lt;&gt;""</formula>
    </cfRule>
  </conditionalFormatting>
  <conditionalFormatting sqref="F175:J181 B175:E185 J181:J238 C184:J184 I239:J239 F240:J252 J253:J331 F260:I286 B481:I482 J481:J510 J656:J714 B711:I711 B713:I714 B822:E822 H822:J822 H830:J830 B837:E837 H837:J837 I1066:J1093 B1122:H1122 I1122:J1137 H1125:H1137 B1126:G1137 I1142:J1147 F1264:H1264 B1272:H1281 J1282:J1299 B1313:H1313 B1338:H1370 I1375:J1378 J1379:J1396 F1424:H1458 F1459:J1461 B1462:H1463">
    <cfRule type="expression" dxfId="27" priority="291" stopIfTrue="1">
      <formula>$A175&lt;&gt;""</formula>
    </cfRule>
  </conditionalFormatting>
  <conditionalFormatting sqref="H201">
    <cfRule type="expression" dxfId="26" priority="131" stopIfTrue="1">
      <formula>$A201&lt;&gt;""</formula>
    </cfRule>
  </conditionalFormatting>
  <conditionalFormatting sqref="H207:H208">
    <cfRule type="expression" dxfId="25" priority="120" stopIfTrue="1">
      <formula>$A207&lt;&gt;""</formula>
    </cfRule>
  </conditionalFormatting>
  <conditionalFormatting sqref="H211:H239">
    <cfRule type="expression" dxfId="24" priority="10" stopIfTrue="1">
      <formula>$A211&lt;&gt;""</formula>
    </cfRule>
  </conditionalFormatting>
  <conditionalFormatting sqref="H485:H486">
    <cfRule type="expression" dxfId="23" priority="144" stopIfTrue="1">
      <formula>$A485&lt;&gt;""</formula>
    </cfRule>
  </conditionalFormatting>
  <conditionalFormatting sqref="H1143:H1147">
    <cfRule type="expression" dxfId="22" priority="182" stopIfTrue="1">
      <formula>$A1143&lt;&gt;""</formula>
    </cfRule>
  </conditionalFormatting>
  <conditionalFormatting sqref="H1265">
    <cfRule type="expression" dxfId="21" priority="193" stopIfTrue="1">
      <formula>$A1265&lt;&gt;""</formula>
    </cfRule>
  </conditionalFormatting>
  <conditionalFormatting sqref="H1304:H1312">
    <cfRule type="expression" dxfId="20" priority="161" stopIfTrue="1">
      <formula>$A1304&lt;&gt;""</formula>
    </cfRule>
  </conditionalFormatting>
  <conditionalFormatting sqref="H1314:H1337">
    <cfRule type="expression" dxfId="19" priority="40" stopIfTrue="1">
      <formula>$A1314&lt;&gt;""</formula>
    </cfRule>
  </conditionalFormatting>
  <conditionalFormatting sqref="H1376:H1378">
    <cfRule type="expression" dxfId="18" priority="259" stopIfTrue="1">
      <formula>$A1376&lt;&gt;""</formula>
    </cfRule>
  </conditionalFormatting>
  <conditionalFormatting sqref="H1380:H1390">
    <cfRule type="expression" dxfId="17" priority="20" stopIfTrue="1">
      <formula>$A1380&lt;&gt;""</formula>
    </cfRule>
  </conditionalFormatting>
  <conditionalFormatting sqref="H1423">
    <cfRule type="expression" dxfId="16" priority="156" stopIfTrue="1">
      <formula>$A1423&lt;&gt;""</formula>
    </cfRule>
  </conditionalFormatting>
  <conditionalFormatting sqref="H1464:H1469">
    <cfRule type="expression" dxfId="15" priority="226" stopIfTrue="1">
      <formula>$A1464&lt;&gt;""</formula>
    </cfRule>
  </conditionalFormatting>
  <conditionalFormatting sqref="H184:I185">
    <cfRule type="expression" dxfId="14" priority="248" stopIfTrue="1">
      <formula>$A184&lt;&gt;""</formula>
    </cfRule>
  </conditionalFormatting>
  <conditionalFormatting sqref="H254:I257">
    <cfRule type="expression" dxfId="13" priority="250" stopIfTrue="1">
      <formula>$A254&lt;&gt;""</formula>
    </cfRule>
  </conditionalFormatting>
  <conditionalFormatting sqref="H259:I259">
    <cfRule type="expression" dxfId="12" priority="126" stopIfTrue="1">
      <formula>$A259&lt;&gt;""</formula>
    </cfRule>
  </conditionalFormatting>
  <conditionalFormatting sqref="H700:I700">
    <cfRule type="expression" dxfId="11" priority="67" stopIfTrue="1">
      <formula>$A700&lt;&gt;""</formula>
    </cfRule>
  </conditionalFormatting>
  <conditionalFormatting sqref="H1149:I1159">
    <cfRule type="expression" dxfId="10" priority="51" stopIfTrue="1">
      <formula>$A1149&lt;&gt;""</formula>
    </cfRule>
  </conditionalFormatting>
  <conditionalFormatting sqref="H1163:I1163">
    <cfRule type="expression" dxfId="9" priority="77" stopIfTrue="1">
      <formula>$A1163&lt;&gt;""</formula>
    </cfRule>
  </conditionalFormatting>
  <conditionalFormatting sqref="H1121:J1121">
    <cfRule type="expression" dxfId="8" priority="133" stopIfTrue="1">
      <formula>$A1121&lt;&gt;""</formula>
    </cfRule>
  </conditionalFormatting>
  <conditionalFormatting sqref="H1371:J1374">
    <cfRule type="expression" dxfId="7" priority="56" stopIfTrue="1">
      <formula>$A1371&lt;&gt;""</formula>
    </cfRule>
  </conditionalFormatting>
  <conditionalFormatting sqref="H1404:J1415">
    <cfRule type="expression" dxfId="6" priority="15" stopIfTrue="1">
      <formula>$A1404&lt;&gt;""</formula>
    </cfRule>
  </conditionalFormatting>
  <conditionalFormatting sqref="I483:I507">
    <cfRule type="expression" dxfId="5" priority="141" stopIfTrue="1">
      <formula>$A483&lt;&gt;""</formula>
    </cfRule>
  </conditionalFormatting>
  <conditionalFormatting sqref="I1380:I1396">
    <cfRule type="expression" dxfId="4" priority="83" stopIfTrue="1">
      <formula>$A1380&lt;&gt;""</formula>
    </cfRule>
  </conditionalFormatting>
  <conditionalFormatting sqref="I1301:J1370">
    <cfRule type="expression" dxfId="3" priority="163" stopIfTrue="1">
      <formula>$A1301&lt;&gt;""</formula>
    </cfRule>
  </conditionalFormatting>
  <conditionalFormatting sqref="I1421:J1458">
    <cfRule type="expression" dxfId="2" priority="158" stopIfTrue="1">
      <formula>$A1421&lt;&gt;""</formula>
    </cfRule>
  </conditionalFormatting>
  <conditionalFormatting sqref="I1462:J1469">
    <cfRule type="expression" dxfId="1" priority="256" stopIfTrue="1">
      <formula>$A1462&lt;&gt;""</formula>
    </cfRule>
  </conditionalFormatting>
  <conditionalFormatting sqref="J1148:J1168">
    <cfRule type="expression" dxfId="0" priority="283" stopIfTrue="1">
      <formula>$A1148&lt;&gt;""</formula>
    </cfRule>
  </conditionalFormatting>
  <dataValidations count="5">
    <dataValidation type="date" allowBlank="1" showInputMessage="1" showErrorMessage="1" sqref="D102:E102 D5012:E65547 D106:E106" xr:uid="{F5059AEA-A0D8-4B20-9D3C-8B76D9C427E6}">
      <formula1>42370</formula1>
      <formula2>42735</formula2>
    </dataValidation>
    <dataValidation type="list" allowBlank="1" sqref="F107:F5011" xr:uid="{255B499D-B3E6-47A9-A857-DBFE56F071D9}">
      <formula1>$F$96:$F$99</formula1>
    </dataValidation>
    <dataValidation type="list" allowBlank="1" showInputMessage="1" showErrorMessage="1" sqref="A107:A5011" xr:uid="{540C0DA9-E9CD-4805-B659-E67C1C32B21C}">
      <formula1>OFFSET($A$1,0,0,$B$3,1)</formula1>
    </dataValidation>
    <dataValidation allowBlank="1" sqref="G107:G5011" xr:uid="{B36265DD-F5DD-4F0A-AD93-4A0388363C0B}"/>
    <dataValidation type="list" allowBlank="1" showInputMessage="1" showErrorMessage="1" errorTitle="Chyba !" error="zadajte (vyberte zo zoznamu) platný analytický kód podľa nápovedy k bunke I104" sqref="J107:J1001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1" bestFit="1" customWidth="1"/>
    <col min="2" max="2" width="46.21875" style="172" bestFit="1" customWidth="1"/>
    <col min="3" max="3" width="15.44140625" style="172" bestFit="1" customWidth="1"/>
    <col min="4" max="4" width="20.5546875" style="172" customWidth="1"/>
    <col min="5" max="5" width="21" style="172" bestFit="1" customWidth="1"/>
    <col min="6" max="6" width="6.21875" style="172" bestFit="1" customWidth="1"/>
    <col min="7" max="7" width="22.77734375" style="172" customWidth="1"/>
    <col min="8" max="8" width="23.5546875" style="172" customWidth="1"/>
    <col min="9" max="9" width="26.77734375" style="172" customWidth="1"/>
    <col min="10" max="10" width="19" style="172" customWidth="1"/>
    <col min="11" max="11" width="19.77734375" style="172" bestFit="1" customWidth="1"/>
    <col min="12" max="12" width="14.44140625" style="173" customWidth="1"/>
    <col min="13" max="14" width="24.77734375" style="172" bestFit="1" customWidth="1"/>
    <col min="15" max="15" width="24.44140625" style="172" bestFit="1" customWidth="1"/>
    <col min="16" max="16" width="24.77734375" style="172" bestFit="1" customWidth="1"/>
    <col min="17" max="256" width="9.21875" style="172"/>
    <col min="257" max="257" width="9.5546875" style="172" bestFit="1" customWidth="1"/>
    <col min="258" max="258" width="46.21875" style="172" bestFit="1" customWidth="1"/>
    <col min="259" max="259" width="15.44140625" style="172" bestFit="1" customWidth="1"/>
    <col min="260" max="260" width="20.5546875" style="172" customWidth="1"/>
    <col min="261" max="261" width="21" style="172" bestFit="1" customWidth="1"/>
    <col min="262" max="262" width="6.21875" style="172" bestFit="1" customWidth="1"/>
    <col min="263" max="263" width="22.77734375" style="172" customWidth="1"/>
    <col min="264" max="264" width="23.5546875" style="172" customWidth="1"/>
    <col min="265" max="265" width="26.77734375" style="172" customWidth="1"/>
    <col min="266" max="266" width="19" style="172" customWidth="1"/>
    <col min="267" max="267" width="19.77734375" style="172" bestFit="1" customWidth="1"/>
    <col min="268" max="268" width="14.44140625" style="172" customWidth="1"/>
    <col min="269" max="270" width="24.77734375" style="172" bestFit="1" customWidth="1"/>
    <col min="271" max="271" width="24.44140625" style="172" bestFit="1" customWidth="1"/>
    <col min="272" max="272" width="24.77734375" style="172" bestFit="1" customWidth="1"/>
    <col min="273" max="512" width="9.21875" style="172"/>
    <col min="513" max="513" width="9.5546875" style="172" bestFit="1" customWidth="1"/>
    <col min="514" max="514" width="46.21875" style="172" bestFit="1" customWidth="1"/>
    <col min="515" max="515" width="15.44140625" style="172" bestFit="1" customWidth="1"/>
    <col min="516" max="516" width="20.5546875" style="172" customWidth="1"/>
    <col min="517" max="517" width="21" style="172" bestFit="1" customWidth="1"/>
    <col min="518" max="518" width="6.21875" style="172" bestFit="1" customWidth="1"/>
    <col min="519" max="519" width="22.77734375" style="172" customWidth="1"/>
    <col min="520" max="520" width="23.5546875" style="172" customWidth="1"/>
    <col min="521" max="521" width="26.77734375" style="172" customWidth="1"/>
    <col min="522" max="522" width="19" style="172" customWidth="1"/>
    <col min="523" max="523" width="19.77734375" style="172" bestFit="1" customWidth="1"/>
    <col min="524" max="524" width="14.44140625" style="172" customWidth="1"/>
    <col min="525" max="526" width="24.77734375" style="172" bestFit="1" customWidth="1"/>
    <col min="527" max="527" width="24.44140625" style="172" bestFit="1" customWidth="1"/>
    <col min="528" max="528" width="24.77734375" style="172" bestFit="1" customWidth="1"/>
    <col min="529" max="768" width="9.21875" style="172"/>
    <col min="769" max="769" width="9.5546875" style="172" bestFit="1" customWidth="1"/>
    <col min="770" max="770" width="46.21875" style="172" bestFit="1" customWidth="1"/>
    <col min="771" max="771" width="15.44140625" style="172" bestFit="1" customWidth="1"/>
    <col min="772" max="772" width="20.5546875" style="172" customWidth="1"/>
    <col min="773" max="773" width="21" style="172" bestFit="1" customWidth="1"/>
    <col min="774" max="774" width="6.21875" style="172" bestFit="1" customWidth="1"/>
    <col min="775" max="775" width="22.77734375" style="172" customWidth="1"/>
    <col min="776" max="776" width="23.5546875" style="172" customWidth="1"/>
    <col min="777" max="777" width="26.77734375" style="172" customWidth="1"/>
    <col min="778" max="778" width="19" style="172" customWidth="1"/>
    <col min="779" max="779" width="19.77734375" style="172" bestFit="1" customWidth="1"/>
    <col min="780" max="780" width="14.44140625" style="172" customWidth="1"/>
    <col min="781" max="782" width="24.77734375" style="172" bestFit="1" customWidth="1"/>
    <col min="783" max="783" width="24.44140625" style="172" bestFit="1" customWidth="1"/>
    <col min="784" max="784" width="24.77734375" style="172" bestFit="1" customWidth="1"/>
    <col min="785" max="1024" width="9.21875" style="172"/>
    <col min="1025" max="1025" width="9.5546875" style="172" bestFit="1" customWidth="1"/>
    <col min="1026" max="1026" width="46.21875" style="172" bestFit="1" customWidth="1"/>
    <col min="1027" max="1027" width="15.44140625" style="172" bestFit="1" customWidth="1"/>
    <col min="1028" max="1028" width="20.5546875" style="172" customWidth="1"/>
    <col min="1029" max="1029" width="21" style="172" bestFit="1" customWidth="1"/>
    <col min="1030" max="1030" width="6.21875" style="172" bestFit="1" customWidth="1"/>
    <col min="1031" max="1031" width="22.77734375" style="172" customWidth="1"/>
    <col min="1032" max="1032" width="23.5546875" style="172" customWidth="1"/>
    <col min="1033" max="1033" width="26.77734375" style="172" customWidth="1"/>
    <col min="1034" max="1034" width="19" style="172" customWidth="1"/>
    <col min="1035" max="1035" width="19.77734375" style="172" bestFit="1" customWidth="1"/>
    <col min="1036" max="1036" width="14.44140625" style="172" customWidth="1"/>
    <col min="1037" max="1038" width="24.77734375" style="172" bestFit="1" customWidth="1"/>
    <col min="1039" max="1039" width="24.44140625" style="172" bestFit="1" customWidth="1"/>
    <col min="1040" max="1040" width="24.77734375" style="172" bestFit="1" customWidth="1"/>
    <col min="1041" max="1280" width="9.21875" style="172"/>
    <col min="1281" max="1281" width="9.5546875" style="172" bestFit="1" customWidth="1"/>
    <col min="1282" max="1282" width="46.21875" style="172" bestFit="1" customWidth="1"/>
    <col min="1283" max="1283" width="15.44140625" style="172" bestFit="1" customWidth="1"/>
    <col min="1284" max="1284" width="20.5546875" style="172" customWidth="1"/>
    <col min="1285" max="1285" width="21" style="172" bestFit="1" customWidth="1"/>
    <col min="1286" max="1286" width="6.21875" style="172" bestFit="1" customWidth="1"/>
    <col min="1287" max="1287" width="22.77734375" style="172" customWidth="1"/>
    <col min="1288" max="1288" width="23.5546875" style="172" customWidth="1"/>
    <col min="1289" max="1289" width="26.77734375" style="172" customWidth="1"/>
    <col min="1290" max="1290" width="19" style="172" customWidth="1"/>
    <col min="1291" max="1291" width="19.77734375" style="172" bestFit="1" customWidth="1"/>
    <col min="1292" max="1292" width="14.44140625" style="172" customWidth="1"/>
    <col min="1293" max="1294" width="24.77734375" style="172" bestFit="1" customWidth="1"/>
    <col min="1295" max="1295" width="24.44140625" style="172" bestFit="1" customWidth="1"/>
    <col min="1296" max="1296" width="24.77734375" style="172" bestFit="1" customWidth="1"/>
    <col min="1297" max="1536" width="9.21875" style="172"/>
    <col min="1537" max="1537" width="9.5546875" style="172" bestFit="1" customWidth="1"/>
    <col min="1538" max="1538" width="46.21875" style="172" bestFit="1" customWidth="1"/>
    <col min="1539" max="1539" width="15.44140625" style="172" bestFit="1" customWidth="1"/>
    <col min="1540" max="1540" width="20.5546875" style="172" customWidth="1"/>
    <col min="1541" max="1541" width="21" style="172" bestFit="1" customWidth="1"/>
    <col min="1542" max="1542" width="6.21875" style="172" bestFit="1" customWidth="1"/>
    <col min="1543" max="1543" width="22.77734375" style="172" customWidth="1"/>
    <col min="1544" max="1544" width="23.5546875" style="172" customWidth="1"/>
    <col min="1545" max="1545" width="26.77734375" style="172" customWidth="1"/>
    <col min="1546" max="1546" width="19" style="172" customWidth="1"/>
    <col min="1547" max="1547" width="19.77734375" style="172" bestFit="1" customWidth="1"/>
    <col min="1548" max="1548" width="14.44140625" style="172" customWidth="1"/>
    <col min="1549" max="1550" width="24.77734375" style="172" bestFit="1" customWidth="1"/>
    <col min="1551" max="1551" width="24.44140625" style="172" bestFit="1" customWidth="1"/>
    <col min="1552" max="1552" width="24.77734375" style="172" bestFit="1" customWidth="1"/>
    <col min="1553" max="1792" width="9.21875" style="172"/>
    <col min="1793" max="1793" width="9.5546875" style="172" bestFit="1" customWidth="1"/>
    <col min="1794" max="1794" width="46.21875" style="172" bestFit="1" customWidth="1"/>
    <col min="1795" max="1795" width="15.44140625" style="172" bestFit="1" customWidth="1"/>
    <col min="1796" max="1796" width="20.5546875" style="172" customWidth="1"/>
    <col min="1797" max="1797" width="21" style="172" bestFit="1" customWidth="1"/>
    <col min="1798" max="1798" width="6.21875" style="172" bestFit="1" customWidth="1"/>
    <col min="1799" max="1799" width="22.77734375" style="172" customWidth="1"/>
    <col min="1800" max="1800" width="23.5546875" style="172" customWidth="1"/>
    <col min="1801" max="1801" width="26.77734375" style="172" customWidth="1"/>
    <col min="1802" max="1802" width="19" style="172" customWidth="1"/>
    <col min="1803" max="1803" width="19.77734375" style="172" bestFit="1" customWidth="1"/>
    <col min="1804" max="1804" width="14.44140625" style="172" customWidth="1"/>
    <col min="1805" max="1806" width="24.77734375" style="172" bestFit="1" customWidth="1"/>
    <col min="1807" max="1807" width="24.44140625" style="172" bestFit="1" customWidth="1"/>
    <col min="1808" max="1808" width="24.77734375" style="172" bestFit="1" customWidth="1"/>
    <col min="1809" max="2048" width="9.21875" style="172"/>
    <col min="2049" max="2049" width="9.5546875" style="172" bestFit="1" customWidth="1"/>
    <col min="2050" max="2050" width="46.21875" style="172" bestFit="1" customWidth="1"/>
    <col min="2051" max="2051" width="15.44140625" style="172" bestFit="1" customWidth="1"/>
    <col min="2052" max="2052" width="20.5546875" style="172" customWidth="1"/>
    <col min="2053" max="2053" width="21" style="172" bestFit="1" customWidth="1"/>
    <col min="2054" max="2054" width="6.21875" style="172" bestFit="1" customWidth="1"/>
    <col min="2055" max="2055" width="22.77734375" style="172" customWidth="1"/>
    <col min="2056" max="2056" width="23.5546875" style="172" customWidth="1"/>
    <col min="2057" max="2057" width="26.77734375" style="172" customWidth="1"/>
    <col min="2058" max="2058" width="19" style="172" customWidth="1"/>
    <col min="2059" max="2059" width="19.77734375" style="172" bestFit="1" customWidth="1"/>
    <col min="2060" max="2060" width="14.44140625" style="172" customWidth="1"/>
    <col min="2061" max="2062" width="24.77734375" style="172" bestFit="1" customWidth="1"/>
    <col min="2063" max="2063" width="24.44140625" style="172" bestFit="1" customWidth="1"/>
    <col min="2064" max="2064" width="24.77734375" style="172" bestFit="1" customWidth="1"/>
    <col min="2065" max="2304" width="9.21875" style="172"/>
    <col min="2305" max="2305" width="9.5546875" style="172" bestFit="1" customWidth="1"/>
    <col min="2306" max="2306" width="46.21875" style="172" bestFit="1" customWidth="1"/>
    <col min="2307" max="2307" width="15.44140625" style="172" bestFit="1" customWidth="1"/>
    <col min="2308" max="2308" width="20.5546875" style="172" customWidth="1"/>
    <col min="2309" max="2309" width="21" style="172" bestFit="1" customWidth="1"/>
    <col min="2310" max="2310" width="6.21875" style="172" bestFit="1" customWidth="1"/>
    <col min="2311" max="2311" width="22.77734375" style="172" customWidth="1"/>
    <col min="2312" max="2312" width="23.5546875" style="172" customWidth="1"/>
    <col min="2313" max="2313" width="26.77734375" style="172" customWidth="1"/>
    <col min="2314" max="2314" width="19" style="172" customWidth="1"/>
    <col min="2315" max="2315" width="19.77734375" style="172" bestFit="1" customWidth="1"/>
    <col min="2316" max="2316" width="14.44140625" style="172" customWidth="1"/>
    <col min="2317" max="2318" width="24.77734375" style="172" bestFit="1" customWidth="1"/>
    <col min="2319" max="2319" width="24.44140625" style="172" bestFit="1" customWidth="1"/>
    <col min="2320" max="2320" width="24.77734375" style="172" bestFit="1" customWidth="1"/>
    <col min="2321" max="2560" width="9.21875" style="172"/>
    <col min="2561" max="2561" width="9.5546875" style="172" bestFit="1" customWidth="1"/>
    <col min="2562" max="2562" width="46.21875" style="172" bestFit="1" customWidth="1"/>
    <col min="2563" max="2563" width="15.44140625" style="172" bestFit="1" customWidth="1"/>
    <col min="2564" max="2564" width="20.5546875" style="172" customWidth="1"/>
    <col min="2565" max="2565" width="21" style="172" bestFit="1" customWidth="1"/>
    <col min="2566" max="2566" width="6.21875" style="172" bestFit="1" customWidth="1"/>
    <col min="2567" max="2567" width="22.77734375" style="172" customWidth="1"/>
    <col min="2568" max="2568" width="23.5546875" style="172" customWidth="1"/>
    <col min="2569" max="2569" width="26.77734375" style="172" customWidth="1"/>
    <col min="2570" max="2570" width="19" style="172" customWidth="1"/>
    <col min="2571" max="2571" width="19.77734375" style="172" bestFit="1" customWidth="1"/>
    <col min="2572" max="2572" width="14.44140625" style="172" customWidth="1"/>
    <col min="2573" max="2574" width="24.77734375" style="172" bestFit="1" customWidth="1"/>
    <col min="2575" max="2575" width="24.44140625" style="172" bestFit="1" customWidth="1"/>
    <col min="2576" max="2576" width="24.77734375" style="172" bestFit="1" customWidth="1"/>
    <col min="2577" max="2816" width="9.21875" style="172"/>
    <col min="2817" max="2817" width="9.5546875" style="172" bestFit="1" customWidth="1"/>
    <col min="2818" max="2818" width="46.21875" style="172" bestFit="1" customWidth="1"/>
    <col min="2819" max="2819" width="15.44140625" style="172" bestFit="1" customWidth="1"/>
    <col min="2820" max="2820" width="20.5546875" style="172" customWidth="1"/>
    <col min="2821" max="2821" width="21" style="172" bestFit="1" customWidth="1"/>
    <col min="2822" max="2822" width="6.21875" style="172" bestFit="1" customWidth="1"/>
    <col min="2823" max="2823" width="22.77734375" style="172" customWidth="1"/>
    <col min="2824" max="2824" width="23.5546875" style="172" customWidth="1"/>
    <col min="2825" max="2825" width="26.77734375" style="172" customWidth="1"/>
    <col min="2826" max="2826" width="19" style="172" customWidth="1"/>
    <col min="2827" max="2827" width="19.77734375" style="172" bestFit="1" customWidth="1"/>
    <col min="2828" max="2828" width="14.44140625" style="172" customWidth="1"/>
    <col min="2829" max="2830" width="24.77734375" style="172" bestFit="1" customWidth="1"/>
    <col min="2831" max="2831" width="24.44140625" style="172" bestFit="1" customWidth="1"/>
    <col min="2832" max="2832" width="24.77734375" style="172" bestFit="1" customWidth="1"/>
    <col min="2833" max="3072" width="9.21875" style="172"/>
    <col min="3073" max="3073" width="9.5546875" style="172" bestFit="1" customWidth="1"/>
    <col min="3074" max="3074" width="46.21875" style="172" bestFit="1" customWidth="1"/>
    <col min="3075" max="3075" width="15.44140625" style="172" bestFit="1" customWidth="1"/>
    <col min="3076" max="3076" width="20.5546875" style="172" customWidth="1"/>
    <col min="3077" max="3077" width="21" style="172" bestFit="1" customWidth="1"/>
    <col min="3078" max="3078" width="6.21875" style="172" bestFit="1" customWidth="1"/>
    <col min="3079" max="3079" width="22.77734375" style="172" customWidth="1"/>
    <col min="3080" max="3080" width="23.5546875" style="172" customWidth="1"/>
    <col min="3081" max="3081" width="26.77734375" style="172" customWidth="1"/>
    <col min="3082" max="3082" width="19" style="172" customWidth="1"/>
    <col min="3083" max="3083" width="19.77734375" style="172" bestFit="1" customWidth="1"/>
    <col min="3084" max="3084" width="14.44140625" style="172" customWidth="1"/>
    <col min="3085" max="3086" width="24.77734375" style="172" bestFit="1" customWidth="1"/>
    <col min="3087" max="3087" width="24.44140625" style="172" bestFit="1" customWidth="1"/>
    <col min="3088" max="3088" width="24.77734375" style="172" bestFit="1" customWidth="1"/>
    <col min="3089" max="3328" width="9.21875" style="172"/>
    <col min="3329" max="3329" width="9.5546875" style="172" bestFit="1" customWidth="1"/>
    <col min="3330" max="3330" width="46.21875" style="172" bestFit="1" customWidth="1"/>
    <col min="3331" max="3331" width="15.44140625" style="172" bestFit="1" customWidth="1"/>
    <col min="3332" max="3332" width="20.5546875" style="172" customWidth="1"/>
    <col min="3333" max="3333" width="21" style="172" bestFit="1" customWidth="1"/>
    <col min="3334" max="3334" width="6.21875" style="172" bestFit="1" customWidth="1"/>
    <col min="3335" max="3335" width="22.77734375" style="172" customWidth="1"/>
    <col min="3336" max="3336" width="23.5546875" style="172" customWidth="1"/>
    <col min="3337" max="3337" width="26.77734375" style="172" customWidth="1"/>
    <col min="3338" max="3338" width="19" style="172" customWidth="1"/>
    <col min="3339" max="3339" width="19.77734375" style="172" bestFit="1" customWidth="1"/>
    <col min="3340" max="3340" width="14.44140625" style="172" customWidth="1"/>
    <col min="3341" max="3342" width="24.77734375" style="172" bestFit="1" customWidth="1"/>
    <col min="3343" max="3343" width="24.44140625" style="172" bestFit="1" customWidth="1"/>
    <col min="3344" max="3344" width="24.77734375" style="172" bestFit="1" customWidth="1"/>
    <col min="3345" max="3584" width="9.21875" style="172"/>
    <col min="3585" max="3585" width="9.5546875" style="172" bestFit="1" customWidth="1"/>
    <col min="3586" max="3586" width="46.21875" style="172" bestFit="1" customWidth="1"/>
    <col min="3587" max="3587" width="15.44140625" style="172" bestFit="1" customWidth="1"/>
    <col min="3588" max="3588" width="20.5546875" style="172" customWidth="1"/>
    <col min="3589" max="3589" width="21" style="172" bestFit="1" customWidth="1"/>
    <col min="3590" max="3590" width="6.21875" style="172" bestFit="1" customWidth="1"/>
    <col min="3591" max="3591" width="22.77734375" style="172" customWidth="1"/>
    <col min="3592" max="3592" width="23.5546875" style="172" customWidth="1"/>
    <col min="3593" max="3593" width="26.77734375" style="172" customWidth="1"/>
    <col min="3594" max="3594" width="19" style="172" customWidth="1"/>
    <col min="3595" max="3595" width="19.77734375" style="172" bestFit="1" customWidth="1"/>
    <col min="3596" max="3596" width="14.44140625" style="172" customWidth="1"/>
    <col min="3597" max="3598" width="24.77734375" style="172" bestFit="1" customWidth="1"/>
    <col min="3599" max="3599" width="24.44140625" style="172" bestFit="1" customWidth="1"/>
    <col min="3600" max="3600" width="24.77734375" style="172" bestFit="1" customWidth="1"/>
    <col min="3601" max="3840" width="9.21875" style="172"/>
    <col min="3841" max="3841" width="9.5546875" style="172" bestFit="1" customWidth="1"/>
    <col min="3842" max="3842" width="46.21875" style="172" bestFit="1" customWidth="1"/>
    <col min="3843" max="3843" width="15.44140625" style="172" bestFit="1" customWidth="1"/>
    <col min="3844" max="3844" width="20.5546875" style="172" customWidth="1"/>
    <col min="3845" max="3845" width="21" style="172" bestFit="1" customWidth="1"/>
    <col min="3846" max="3846" width="6.21875" style="172" bestFit="1" customWidth="1"/>
    <col min="3847" max="3847" width="22.77734375" style="172" customWidth="1"/>
    <col min="3848" max="3848" width="23.5546875" style="172" customWidth="1"/>
    <col min="3849" max="3849" width="26.77734375" style="172" customWidth="1"/>
    <col min="3850" max="3850" width="19" style="172" customWidth="1"/>
    <col min="3851" max="3851" width="19.77734375" style="172" bestFit="1" customWidth="1"/>
    <col min="3852" max="3852" width="14.44140625" style="172" customWidth="1"/>
    <col min="3853" max="3854" width="24.77734375" style="172" bestFit="1" customWidth="1"/>
    <col min="3855" max="3855" width="24.44140625" style="172" bestFit="1" customWidth="1"/>
    <col min="3856" max="3856" width="24.77734375" style="172" bestFit="1" customWidth="1"/>
    <col min="3857" max="4096" width="9.21875" style="172"/>
    <col min="4097" max="4097" width="9.5546875" style="172" bestFit="1" customWidth="1"/>
    <col min="4098" max="4098" width="46.21875" style="172" bestFit="1" customWidth="1"/>
    <col min="4099" max="4099" width="15.44140625" style="172" bestFit="1" customWidth="1"/>
    <col min="4100" max="4100" width="20.5546875" style="172" customWidth="1"/>
    <col min="4101" max="4101" width="21" style="172" bestFit="1" customWidth="1"/>
    <col min="4102" max="4102" width="6.21875" style="172" bestFit="1" customWidth="1"/>
    <col min="4103" max="4103" width="22.77734375" style="172" customWidth="1"/>
    <col min="4104" max="4104" width="23.5546875" style="172" customWidth="1"/>
    <col min="4105" max="4105" width="26.77734375" style="172" customWidth="1"/>
    <col min="4106" max="4106" width="19" style="172" customWidth="1"/>
    <col min="4107" max="4107" width="19.77734375" style="172" bestFit="1" customWidth="1"/>
    <col min="4108" max="4108" width="14.44140625" style="172" customWidth="1"/>
    <col min="4109" max="4110" width="24.77734375" style="172" bestFit="1" customWidth="1"/>
    <col min="4111" max="4111" width="24.44140625" style="172" bestFit="1" customWidth="1"/>
    <col min="4112" max="4112" width="24.77734375" style="172" bestFit="1" customWidth="1"/>
    <col min="4113" max="4352" width="9.21875" style="172"/>
    <col min="4353" max="4353" width="9.5546875" style="172" bestFit="1" customWidth="1"/>
    <col min="4354" max="4354" width="46.21875" style="172" bestFit="1" customWidth="1"/>
    <col min="4355" max="4355" width="15.44140625" style="172" bestFit="1" customWidth="1"/>
    <col min="4356" max="4356" width="20.5546875" style="172" customWidth="1"/>
    <col min="4357" max="4357" width="21" style="172" bestFit="1" customWidth="1"/>
    <col min="4358" max="4358" width="6.21875" style="172" bestFit="1" customWidth="1"/>
    <col min="4359" max="4359" width="22.77734375" style="172" customWidth="1"/>
    <col min="4360" max="4360" width="23.5546875" style="172" customWidth="1"/>
    <col min="4361" max="4361" width="26.77734375" style="172" customWidth="1"/>
    <col min="4362" max="4362" width="19" style="172" customWidth="1"/>
    <col min="4363" max="4363" width="19.77734375" style="172" bestFit="1" customWidth="1"/>
    <col min="4364" max="4364" width="14.44140625" style="172" customWidth="1"/>
    <col min="4365" max="4366" width="24.77734375" style="172" bestFit="1" customWidth="1"/>
    <col min="4367" max="4367" width="24.44140625" style="172" bestFit="1" customWidth="1"/>
    <col min="4368" max="4368" width="24.77734375" style="172" bestFit="1" customWidth="1"/>
    <col min="4369" max="4608" width="9.21875" style="172"/>
    <col min="4609" max="4609" width="9.5546875" style="172" bestFit="1" customWidth="1"/>
    <col min="4610" max="4610" width="46.21875" style="172" bestFit="1" customWidth="1"/>
    <col min="4611" max="4611" width="15.44140625" style="172" bestFit="1" customWidth="1"/>
    <col min="4612" max="4612" width="20.5546875" style="172" customWidth="1"/>
    <col min="4613" max="4613" width="21" style="172" bestFit="1" customWidth="1"/>
    <col min="4614" max="4614" width="6.21875" style="172" bestFit="1" customWidth="1"/>
    <col min="4615" max="4615" width="22.77734375" style="172" customWidth="1"/>
    <col min="4616" max="4616" width="23.5546875" style="172" customWidth="1"/>
    <col min="4617" max="4617" width="26.77734375" style="172" customWidth="1"/>
    <col min="4618" max="4618" width="19" style="172" customWidth="1"/>
    <col min="4619" max="4619" width="19.77734375" style="172" bestFit="1" customWidth="1"/>
    <col min="4620" max="4620" width="14.44140625" style="172" customWidth="1"/>
    <col min="4621" max="4622" width="24.77734375" style="172" bestFit="1" customWidth="1"/>
    <col min="4623" max="4623" width="24.44140625" style="172" bestFit="1" customWidth="1"/>
    <col min="4624" max="4624" width="24.77734375" style="172" bestFit="1" customWidth="1"/>
    <col min="4625" max="4864" width="9.21875" style="172"/>
    <col min="4865" max="4865" width="9.5546875" style="172" bestFit="1" customWidth="1"/>
    <col min="4866" max="4866" width="46.21875" style="172" bestFit="1" customWidth="1"/>
    <col min="4867" max="4867" width="15.44140625" style="172" bestFit="1" customWidth="1"/>
    <col min="4868" max="4868" width="20.5546875" style="172" customWidth="1"/>
    <col min="4869" max="4869" width="21" style="172" bestFit="1" customWidth="1"/>
    <col min="4870" max="4870" width="6.21875" style="172" bestFit="1" customWidth="1"/>
    <col min="4871" max="4871" width="22.77734375" style="172" customWidth="1"/>
    <col min="4872" max="4872" width="23.5546875" style="172" customWidth="1"/>
    <col min="4873" max="4873" width="26.77734375" style="172" customWidth="1"/>
    <col min="4874" max="4874" width="19" style="172" customWidth="1"/>
    <col min="4875" max="4875" width="19.77734375" style="172" bestFit="1" customWidth="1"/>
    <col min="4876" max="4876" width="14.44140625" style="172" customWidth="1"/>
    <col min="4877" max="4878" width="24.77734375" style="172" bestFit="1" customWidth="1"/>
    <col min="4879" max="4879" width="24.44140625" style="172" bestFit="1" customWidth="1"/>
    <col min="4880" max="4880" width="24.77734375" style="172" bestFit="1" customWidth="1"/>
    <col min="4881" max="5120" width="9.21875" style="172"/>
    <col min="5121" max="5121" width="9.5546875" style="172" bestFit="1" customWidth="1"/>
    <col min="5122" max="5122" width="46.21875" style="172" bestFit="1" customWidth="1"/>
    <col min="5123" max="5123" width="15.44140625" style="172" bestFit="1" customWidth="1"/>
    <col min="5124" max="5124" width="20.5546875" style="172" customWidth="1"/>
    <col min="5125" max="5125" width="21" style="172" bestFit="1" customWidth="1"/>
    <col min="5126" max="5126" width="6.21875" style="172" bestFit="1" customWidth="1"/>
    <col min="5127" max="5127" width="22.77734375" style="172" customWidth="1"/>
    <col min="5128" max="5128" width="23.5546875" style="172" customWidth="1"/>
    <col min="5129" max="5129" width="26.77734375" style="172" customWidth="1"/>
    <col min="5130" max="5130" width="19" style="172" customWidth="1"/>
    <col min="5131" max="5131" width="19.77734375" style="172" bestFit="1" customWidth="1"/>
    <col min="5132" max="5132" width="14.44140625" style="172" customWidth="1"/>
    <col min="5133" max="5134" width="24.77734375" style="172" bestFit="1" customWidth="1"/>
    <col min="5135" max="5135" width="24.44140625" style="172" bestFit="1" customWidth="1"/>
    <col min="5136" max="5136" width="24.77734375" style="172" bestFit="1" customWidth="1"/>
    <col min="5137" max="5376" width="9.21875" style="172"/>
    <col min="5377" max="5377" width="9.5546875" style="172" bestFit="1" customWidth="1"/>
    <col min="5378" max="5378" width="46.21875" style="172" bestFit="1" customWidth="1"/>
    <col min="5379" max="5379" width="15.44140625" style="172" bestFit="1" customWidth="1"/>
    <col min="5380" max="5380" width="20.5546875" style="172" customWidth="1"/>
    <col min="5381" max="5381" width="21" style="172" bestFit="1" customWidth="1"/>
    <col min="5382" max="5382" width="6.21875" style="172" bestFit="1" customWidth="1"/>
    <col min="5383" max="5383" width="22.77734375" style="172" customWidth="1"/>
    <col min="5384" max="5384" width="23.5546875" style="172" customWidth="1"/>
    <col min="5385" max="5385" width="26.77734375" style="172" customWidth="1"/>
    <col min="5386" max="5386" width="19" style="172" customWidth="1"/>
    <col min="5387" max="5387" width="19.77734375" style="172" bestFit="1" customWidth="1"/>
    <col min="5388" max="5388" width="14.44140625" style="172" customWidth="1"/>
    <col min="5389" max="5390" width="24.77734375" style="172" bestFit="1" customWidth="1"/>
    <col min="5391" max="5391" width="24.44140625" style="172" bestFit="1" customWidth="1"/>
    <col min="5392" max="5392" width="24.77734375" style="172" bestFit="1" customWidth="1"/>
    <col min="5393" max="5632" width="9.21875" style="172"/>
    <col min="5633" max="5633" width="9.5546875" style="172" bestFit="1" customWidth="1"/>
    <col min="5634" max="5634" width="46.21875" style="172" bestFit="1" customWidth="1"/>
    <col min="5635" max="5635" width="15.44140625" style="172" bestFit="1" customWidth="1"/>
    <col min="5636" max="5636" width="20.5546875" style="172" customWidth="1"/>
    <col min="5637" max="5637" width="21" style="172" bestFit="1" customWidth="1"/>
    <col min="5638" max="5638" width="6.21875" style="172" bestFit="1" customWidth="1"/>
    <col min="5639" max="5639" width="22.77734375" style="172" customWidth="1"/>
    <col min="5640" max="5640" width="23.5546875" style="172" customWidth="1"/>
    <col min="5641" max="5641" width="26.77734375" style="172" customWidth="1"/>
    <col min="5642" max="5642" width="19" style="172" customWidth="1"/>
    <col min="5643" max="5643" width="19.77734375" style="172" bestFit="1" customWidth="1"/>
    <col min="5644" max="5644" width="14.44140625" style="172" customWidth="1"/>
    <col min="5645" max="5646" width="24.77734375" style="172" bestFit="1" customWidth="1"/>
    <col min="5647" max="5647" width="24.44140625" style="172" bestFit="1" customWidth="1"/>
    <col min="5648" max="5648" width="24.77734375" style="172" bestFit="1" customWidth="1"/>
    <col min="5649" max="5888" width="9.21875" style="172"/>
    <col min="5889" max="5889" width="9.5546875" style="172" bestFit="1" customWidth="1"/>
    <col min="5890" max="5890" width="46.21875" style="172" bestFit="1" customWidth="1"/>
    <col min="5891" max="5891" width="15.44140625" style="172" bestFit="1" customWidth="1"/>
    <col min="5892" max="5892" width="20.5546875" style="172" customWidth="1"/>
    <col min="5893" max="5893" width="21" style="172" bestFit="1" customWidth="1"/>
    <col min="5894" max="5894" width="6.21875" style="172" bestFit="1" customWidth="1"/>
    <col min="5895" max="5895" width="22.77734375" style="172" customWidth="1"/>
    <col min="5896" max="5896" width="23.5546875" style="172" customWidth="1"/>
    <col min="5897" max="5897" width="26.77734375" style="172" customWidth="1"/>
    <col min="5898" max="5898" width="19" style="172" customWidth="1"/>
    <col min="5899" max="5899" width="19.77734375" style="172" bestFit="1" customWidth="1"/>
    <col min="5900" max="5900" width="14.44140625" style="172" customWidth="1"/>
    <col min="5901" max="5902" width="24.77734375" style="172" bestFit="1" customWidth="1"/>
    <col min="5903" max="5903" width="24.44140625" style="172" bestFit="1" customWidth="1"/>
    <col min="5904" max="5904" width="24.77734375" style="172" bestFit="1" customWidth="1"/>
    <col min="5905" max="6144" width="9.21875" style="172"/>
    <col min="6145" max="6145" width="9.5546875" style="172" bestFit="1" customWidth="1"/>
    <col min="6146" max="6146" width="46.21875" style="172" bestFit="1" customWidth="1"/>
    <col min="6147" max="6147" width="15.44140625" style="172" bestFit="1" customWidth="1"/>
    <col min="6148" max="6148" width="20.5546875" style="172" customWidth="1"/>
    <col min="6149" max="6149" width="21" style="172" bestFit="1" customWidth="1"/>
    <col min="6150" max="6150" width="6.21875" style="172" bestFit="1" customWidth="1"/>
    <col min="6151" max="6151" width="22.77734375" style="172" customWidth="1"/>
    <col min="6152" max="6152" width="23.5546875" style="172" customWidth="1"/>
    <col min="6153" max="6153" width="26.77734375" style="172" customWidth="1"/>
    <col min="6154" max="6154" width="19" style="172" customWidth="1"/>
    <col min="6155" max="6155" width="19.77734375" style="172" bestFit="1" customWidth="1"/>
    <col min="6156" max="6156" width="14.44140625" style="172" customWidth="1"/>
    <col min="6157" max="6158" width="24.77734375" style="172" bestFit="1" customWidth="1"/>
    <col min="6159" max="6159" width="24.44140625" style="172" bestFit="1" customWidth="1"/>
    <col min="6160" max="6160" width="24.77734375" style="172" bestFit="1" customWidth="1"/>
    <col min="6161" max="6400" width="9.21875" style="172"/>
    <col min="6401" max="6401" width="9.5546875" style="172" bestFit="1" customWidth="1"/>
    <col min="6402" max="6402" width="46.21875" style="172" bestFit="1" customWidth="1"/>
    <col min="6403" max="6403" width="15.44140625" style="172" bestFit="1" customWidth="1"/>
    <col min="6404" max="6404" width="20.5546875" style="172" customWidth="1"/>
    <col min="6405" max="6405" width="21" style="172" bestFit="1" customWidth="1"/>
    <col min="6406" max="6406" width="6.21875" style="172" bestFit="1" customWidth="1"/>
    <col min="6407" max="6407" width="22.77734375" style="172" customWidth="1"/>
    <col min="6408" max="6408" width="23.5546875" style="172" customWidth="1"/>
    <col min="6409" max="6409" width="26.77734375" style="172" customWidth="1"/>
    <col min="6410" max="6410" width="19" style="172" customWidth="1"/>
    <col min="6411" max="6411" width="19.77734375" style="172" bestFit="1" customWidth="1"/>
    <col min="6412" max="6412" width="14.44140625" style="172" customWidth="1"/>
    <col min="6413" max="6414" width="24.77734375" style="172" bestFit="1" customWidth="1"/>
    <col min="6415" max="6415" width="24.44140625" style="172" bestFit="1" customWidth="1"/>
    <col min="6416" max="6416" width="24.77734375" style="172" bestFit="1" customWidth="1"/>
    <col min="6417" max="6656" width="9.21875" style="172"/>
    <col min="6657" max="6657" width="9.5546875" style="172" bestFit="1" customWidth="1"/>
    <col min="6658" max="6658" width="46.21875" style="172" bestFit="1" customWidth="1"/>
    <col min="6659" max="6659" width="15.44140625" style="172" bestFit="1" customWidth="1"/>
    <col min="6660" max="6660" width="20.5546875" style="172" customWidth="1"/>
    <col min="6661" max="6661" width="21" style="172" bestFit="1" customWidth="1"/>
    <col min="6662" max="6662" width="6.21875" style="172" bestFit="1" customWidth="1"/>
    <col min="6663" max="6663" width="22.77734375" style="172" customWidth="1"/>
    <col min="6664" max="6664" width="23.5546875" style="172" customWidth="1"/>
    <col min="6665" max="6665" width="26.77734375" style="172" customWidth="1"/>
    <col min="6666" max="6666" width="19" style="172" customWidth="1"/>
    <col min="6667" max="6667" width="19.77734375" style="172" bestFit="1" customWidth="1"/>
    <col min="6668" max="6668" width="14.44140625" style="172" customWidth="1"/>
    <col min="6669" max="6670" width="24.77734375" style="172" bestFit="1" customWidth="1"/>
    <col min="6671" max="6671" width="24.44140625" style="172" bestFit="1" customWidth="1"/>
    <col min="6672" max="6672" width="24.77734375" style="172" bestFit="1" customWidth="1"/>
    <col min="6673" max="6912" width="9.21875" style="172"/>
    <col min="6913" max="6913" width="9.5546875" style="172" bestFit="1" customWidth="1"/>
    <col min="6914" max="6914" width="46.21875" style="172" bestFit="1" customWidth="1"/>
    <col min="6915" max="6915" width="15.44140625" style="172" bestFit="1" customWidth="1"/>
    <col min="6916" max="6916" width="20.5546875" style="172" customWidth="1"/>
    <col min="6917" max="6917" width="21" style="172" bestFit="1" customWidth="1"/>
    <col min="6918" max="6918" width="6.21875" style="172" bestFit="1" customWidth="1"/>
    <col min="6919" max="6919" width="22.77734375" style="172" customWidth="1"/>
    <col min="6920" max="6920" width="23.5546875" style="172" customWidth="1"/>
    <col min="6921" max="6921" width="26.77734375" style="172" customWidth="1"/>
    <col min="6922" max="6922" width="19" style="172" customWidth="1"/>
    <col min="6923" max="6923" width="19.77734375" style="172" bestFit="1" customWidth="1"/>
    <col min="6924" max="6924" width="14.44140625" style="172" customWidth="1"/>
    <col min="6925" max="6926" width="24.77734375" style="172" bestFit="1" customWidth="1"/>
    <col min="6927" max="6927" width="24.44140625" style="172" bestFit="1" customWidth="1"/>
    <col min="6928" max="6928" width="24.77734375" style="172" bestFit="1" customWidth="1"/>
    <col min="6929" max="7168" width="9.21875" style="172"/>
    <col min="7169" max="7169" width="9.5546875" style="172" bestFit="1" customWidth="1"/>
    <col min="7170" max="7170" width="46.21875" style="172" bestFit="1" customWidth="1"/>
    <col min="7171" max="7171" width="15.44140625" style="172" bestFit="1" customWidth="1"/>
    <col min="7172" max="7172" width="20.5546875" style="172" customWidth="1"/>
    <col min="7173" max="7173" width="21" style="172" bestFit="1" customWidth="1"/>
    <col min="7174" max="7174" width="6.21875" style="172" bestFit="1" customWidth="1"/>
    <col min="7175" max="7175" width="22.77734375" style="172" customWidth="1"/>
    <col min="7176" max="7176" width="23.5546875" style="172" customWidth="1"/>
    <col min="7177" max="7177" width="26.77734375" style="172" customWidth="1"/>
    <col min="7178" max="7178" width="19" style="172" customWidth="1"/>
    <col min="7179" max="7179" width="19.77734375" style="172" bestFit="1" customWidth="1"/>
    <col min="7180" max="7180" width="14.44140625" style="172" customWidth="1"/>
    <col min="7181" max="7182" width="24.77734375" style="172" bestFit="1" customWidth="1"/>
    <col min="7183" max="7183" width="24.44140625" style="172" bestFit="1" customWidth="1"/>
    <col min="7184" max="7184" width="24.77734375" style="172" bestFit="1" customWidth="1"/>
    <col min="7185" max="7424" width="9.21875" style="172"/>
    <col min="7425" max="7425" width="9.5546875" style="172" bestFit="1" customWidth="1"/>
    <col min="7426" max="7426" width="46.21875" style="172" bestFit="1" customWidth="1"/>
    <col min="7427" max="7427" width="15.44140625" style="172" bestFit="1" customWidth="1"/>
    <col min="7428" max="7428" width="20.5546875" style="172" customWidth="1"/>
    <col min="7429" max="7429" width="21" style="172" bestFit="1" customWidth="1"/>
    <col min="7430" max="7430" width="6.21875" style="172" bestFit="1" customWidth="1"/>
    <col min="7431" max="7431" width="22.77734375" style="172" customWidth="1"/>
    <col min="7432" max="7432" width="23.5546875" style="172" customWidth="1"/>
    <col min="7433" max="7433" width="26.77734375" style="172" customWidth="1"/>
    <col min="7434" max="7434" width="19" style="172" customWidth="1"/>
    <col min="7435" max="7435" width="19.77734375" style="172" bestFit="1" customWidth="1"/>
    <col min="7436" max="7436" width="14.44140625" style="172" customWidth="1"/>
    <col min="7437" max="7438" width="24.77734375" style="172" bestFit="1" customWidth="1"/>
    <col min="7439" max="7439" width="24.44140625" style="172" bestFit="1" customWidth="1"/>
    <col min="7440" max="7440" width="24.77734375" style="172" bestFit="1" customWidth="1"/>
    <col min="7441" max="7680" width="9.21875" style="172"/>
    <col min="7681" max="7681" width="9.5546875" style="172" bestFit="1" customWidth="1"/>
    <col min="7682" max="7682" width="46.21875" style="172" bestFit="1" customWidth="1"/>
    <col min="7683" max="7683" width="15.44140625" style="172" bestFit="1" customWidth="1"/>
    <col min="7684" max="7684" width="20.5546875" style="172" customWidth="1"/>
    <col min="7685" max="7685" width="21" style="172" bestFit="1" customWidth="1"/>
    <col min="7686" max="7686" width="6.21875" style="172" bestFit="1" customWidth="1"/>
    <col min="7687" max="7687" width="22.77734375" style="172" customWidth="1"/>
    <col min="7688" max="7688" width="23.5546875" style="172" customWidth="1"/>
    <col min="7689" max="7689" width="26.77734375" style="172" customWidth="1"/>
    <col min="7690" max="7690" width="19" style="172" customWidth="1"/>
    <col min="7691" max="7691" width="19.77734375" style="172" bestFit="1" customWidth="1"/>
    <col min="7692" max="7692" width="14.44140625" style="172" customWidth="1"/>
    <col min="7693" max="7694" width="24.77734375" style="172" bestFit="1" customWidth="1"/>
    <col min="7695" max="7695" width="24.44140625" style="172" bestFit="1" customWidth="1"/>
    <col min="7696" max="7696" width="24.77734375" style="172" bestFit="1" customWidth="1"/>
    <col min="7697" max="7936" width="9.21875" style="172"/>
    <col min="7937" max="7937" width="9.5546875" style="172" bestFit="1" customWidth="1"/>
    <col min="7938" max="7938" width="46.21875" style="172" bestFit="1" customWidth="1"/>
    <col min="7939" max="7939" width="15.44140625" style="172" bestFit="1" customWidth="1"/>
    <col min="7940" max="7940" width="20.5546875" style="172" customWidth="1"/>
    <col min="7941" max="7941" width="21" style="172" bestFit="1" customWidth="1"/>
    <col min="7942" max="7942" width="6.21875" style="172" bestFit="1" customWidth="1"/>
    <col min="7943" max="7943" width="22.77734375" style="172" customWidth="1"/>
    <col min="7944" max="7944" width="23.5546875" style="172" customWidth="1"/>
    <col min="7945" max="7945" width="26.77734375" style="172" customWidth="1"/>
    <col min="7946" max="7946" width="19" style="172" customWidth="1"/>
    <col min="7947" max="7947" width="19.77734375" style="172" bestFit="1" customWidth="1"/>
    <col min="7948" max="7948" width="14.44140625" style="172" customWidth="1"/>
    <col min="7949" max="7950" width="24.77734375" style="172" bestFit="1" customWidth="1"/>
    <col min="7951" max="7951" width="24.44140625" style="172" bestFit="1" customWidth="1"/>
    <col min="7952" max="7952" width="24.77734375" style="172" bestFit="1" customWidth="1"/>
    <col min="7953" max="8192" width="9.21875" style="172"/>
    <col min="8193" max="8193" width="9.5546875" style="172" bestFit="1" customWidth="1"/>
    <col min="8194" max="8194" width="46.21875" style="172" bestFit="1" customWidth="1"/>
    <col min="8195" max="8195" width="15.44140625" style="172" bestFit="1" customWidth="1"/>
    <col min="8196" max="8196" width="20.5546875" style="172" customWidth="1"/>
    <col min="8197" max="8197" width="21" style="172" bestFit="1" customWidth="1"/>
    <col min="8198" max="8198" width="6.21875" style="172" bestFit="1" customWidth="1"/>
    <col min="8199" max="8199" width="22.77734375" style="172" customWidth="1"/>
    <col min="8200" max="8200" width="23.5546875" style="172" customWidth="1"/>
    <col min="8201" max="8201" width="26.77734375" style="172" customWidth="1"/>
    <col min="8202" max="8202" width="19" style="172" customWidth="1"/>
    <col min="8203" max="8203" width="19.77734375" style="172" bestFit="1" customWidth="1"/>
    <col min="8204" max="8204" width="14.44140625" style="172" customWidth="1"/>
    <col min="8205" max="8206" width="24.77734375" style="172" bestFit="1" customWidth="1"/>
    <col min="8207" max="8207" width="24.44140625" style="172" bestFit="1" customWidth="1"/>
    <col min="8208" max="8208" width="24.77734375" style="172" bestFit="1" customWidth="1"/>
    <col min="8209" max="8448" width="9.21875" style="172"/>
    <col min="8449" max="8449" width="9.5546875" style="172" bestFit="1" customWidth="1"/>
    <col min="8450" max="8450" width="46.21875" style="172" bestFit="1" customWidth="1"/>
    <col min="8451" max="8451" width="15.44140625" style="172" bestFit="1" customWidth="1"/>
    <col min="8452" max="8452" width="20.5546875" style="172" customWidth="1"/>
    <col min="8453" max="8453" width="21" style="172" bestFit="1" customWidth="1"/>
    <col min="8454" max="8454" width="6.21875" style="172" bestFit="1" customWidth="1"/>
    <col min="8455" max="8455" width="22.77734375" style="172" customWidth="1"/>
    <col min="8456" max="8456" width="23.5546875" style="172" customWidth="1"/>
    <col min="8457" max="8457" width="26.77734375" style="172" customWidth="1"/>
    <col min="8458" max="8458" width="19" style="172" customWidth="1"/>
    <col min="8459" max="8459" width="19.77734375" style="172" bestFit="1" customWidth="1"/>
    <col min="8460" max="8460" width="14.44140625" style="172" customWidth="1"/>
    <col min="8461" max="8462" width="24.77734375" style="172" bestFit="1" customWidth="1"/>
    <col min="8463" max="8463" width="24.44140625" style="172" bestFit="1" customWidth="1"/>
    <col min="8464" max="8464" width="24.77734375" style="172" bestFit="1" customWidth="1"/>
    <col min="8465" max="8704" width="9.21875" style="172"/>
    <col min="8705" max="8705" width="9.5546875" style="172" bestFit="1" customWidth="1"/>
    <col min="8706" max="8706" width="46.21875" style="172" bestFit="1" customWidth="1"/>
    <col min="8707" max="8707" width="15.44140625" style="172" bestFit="1" customWidth="1"/>
    <col min="8708" max="8708" width="20.5546875" style="172" customWidth="1"/>
    <col min="8709" max="8709" width="21" style="172" bestFit="1" customWidth="1"/>
    <col min="8710" max="8710" width="6.21875" style="172" bestFit="1" customWidth="1"/>
    <col min="8711" max="8711" width="22.77734375" style="172" customWidth="1"/>
    <col min="8712" max="8712" width="23.5546875" style="172" customWidth="1"/>
    <col min="8713" max="8713" width="26.77734375" style="172" customWidth="1"/>
    <col min="8714" max="8714" width="19" style="172" customWidth="1"/>
    <col min="8715" max="8715" width="19.77734375" style="172" bestFit="1" customWidth="1"/>
    <col min="8716" max="8716" width="14.44140625" style="172" customWidth="1"/>
    <col min="8717" max="8718" width="24.77734375" style="172" bestFit="1" customWidth="1"/>
    <col min="8719" max="8719" width="24.44140625" style="172" bestFit="1" customWidth="1"/>
    <col min="8720" max="8720" width="24.77734375" style="172" bestFit="1" customWidth="1"/>
    <col min="8721" max="8960" width="9.21875" style="172"/>
    <col min="8961" max="8961" width="9.5546875" style="172" bestFit="1" customWidth="1"/>
    <col min="8962" max="8962" width="46.21875" style="172" bestFit="1" customWidth="1"/>
    <col min="8963" max="8963" width="15.44140625" style="172" bestFit="1" customWidth="1"/>
    <col min="8964" max="8964" width="20.5546875" style="172" customWidth="1"/>
    <col min="8965" max="8965" width="21" style="172" bestFit="1" customWidth="1"/>
    <col min="8966" max="8966" width="6.21875" style="172" bestFit="1" customWidth="1"/>
    <col min="8967" max="8967" width="22.77734375" style="172" customWidth="1"/>
    <col min="8968" max="8968" width="23.5546875" style="172" customWidth="1"/>
    <col min="8969" max="8969" width="26.77734375" style="172" customWidth="1"/>
    <col min="8970" max="8970" width="19" style="172" customWidth="1"/>
    <col min="8971" max="8971" width="19.77734375" style="172" bestFit="1" customWidth="1"/>
    <col min="8972" max="8972" width="14.44140625" style="172" customWidth="1"/>
    <col min="8973" max="8974" width="24.77734375" style="172" bestFit="1" customWidth="1"/>
    <col min="8975" max="8975" width="24.44140625" style="172" bestFit="1" customWidth="1"/>
    <col min="8976" max="8976" width="24.77734375" style="172" bestFit="1" customWidth="1"/>
    <col min="8977" max="9216" width="9.21875" style="172"/>
    <col min="9217" max="9217" width="9.5546875" style="172" bestFit="1" customWidth="1"/>
    <col min="9218" max="9218" width="46.21875" style="172" bestFit="1" customWidth="1"/>
    <col min="9219" max="9219" width="15.44140625" style="172" bestFit="1" customWidth="1"/>
    <col min="9220" max="9220" width="20.5546875" style="172" customWidth="1"/>
    <col min="9221" max="9221" width="21" style="172" bestFit="1" customWidth="1"/>
    <col min="9222" max="9222" width="6.21875" style="172" bestFit="1" customWidth="1"/>
    <col min="9223" max="9223" width="22.77734375" style="172" customWidth="1"/>
    <col min="9224" max="9224" width="23.5546875" style="172" customWidth="1"/>
    <col min="9225" max="9225" width="26.77734375" style="172" customWidth="1"/>
    <col min="9226" max="9226" width="19" style="172" customWidth="1"/>
    <col min="9227" max="9227" width="19.77734375" style="172" bestFit="1" customWidth="1"/>
    <col min="9228" max="9228" width="14.44140625" style="172" customWidth="1"/>
    <col min="9229" max="9230" width="24.77734375" style="172" bestFit="1" customWidth="1"/>
    <col min="9231" max="9231" width="24.44140625" style="172" bestFit="1" customWidth="1"/>
    <col min="9232" max="9232" width="24.77734375" style="172" bestFit="1" customWidth="1"/>
    <col min="9233" max="9472" width="9.21875" style="172"/>
    <col min="9473" max="9473" width="9.5546875" style="172" bestFit="1" customWidth="1"/>
    <col min="9474" max="9474" width="46.21875" style="172" bestFit="1" customWidth="1"/>
    <col min="9475" max="9475" width="15.44140625" style="172" bestFit="1" customWidth="1"/>
    <col min="9476" max="9476" width="20.5546875" style="172" customWidth="1"/>
    <col min="9477" max="9477" width="21" style="172" bestFit="1" customWidth="1"/>
    <col min="9478" max="9478" width="6.21875" style="172" bestFit="1" customWidth="1"/>
    <col min="9479" max="9479" width="22.77734375" style="172" customWidth="1"/>
    <col min="9480" max="9480" width="23.5546875" style="172" customWidth="1"/>
    <col min="9481" max="9481" width="26.77734375" style="172" customWidth="1"/>
    <col min="9482" max="9482" width="19" style="172" customWidth="1"/>
    <col min="9483" max="9483" width="19.77734375" style="172" bestFit="1" customWidth="1"/>
    <col min="9484" max="9484" width="14.44140625" style="172" customWidth="1"/>
    <col min="9485" max="9486" width="24.77734375" style="172" bestFit="1" customWidth="1"/>
    <col min="9487" max="9487" width="24.44140625" style="172" bestFit="1" customWidth="1"/>
    <col min="9488" max="9488" width="24.77734375" style="172" bestFit="1" customWidth="1"/>
    <col min="9489" max="9728" width="9.21875" style="172"/>
    <col min="9729" max="9729" width="9.5546875" style="172" bestFit="1" customWidth="1"/>
    <col min="9730" max="9730" width="46.21875" style="172" bestFit="1" customWidth="1"/>
    <col min="9731" max="9731" width="15.44140625" style="172" bestFit="1" customWidth="1"/>
    <col min="9732" max="9732" width="20.5546875" style="172" customWidth="1"/>
    <col min="9733" max="9733" width="21" style="172" bestFit="1" customWidth="1"/>
    <col min="9734" max="9734" width="6.21875" style="172" bestFit="1" customWidth="1"/>
    <col min="9735" max="9735" width="22.77734375" style="172" customWidth="1"/>
    <col min="9736" max="9736" width="23.5546875" style="172" customWidth="1"/>
    <col min="9737" max="9737" width="26.77734375" style="172" customWidth="1"/>
    <col min="9738" max="9738" width="19" style="172" customWidth="1"/>
    <col min="9739" max="9739" width="19.77734375" style="172" bestFit="1" customWidth="1"/>
    <col min="9740" max="9740" width="14.44140625" style="172" customWidth="1"/>
    <col min="9741" max="9742" width="24.77734375" style="172" bestFit="1" customWidth="1"/>
    <col min="9743" max="9743" width="24.44140625" style="172" bestFit="1" customWidth="1"/>
    <col min="9744" max="9744" width="24.77734375" style="172" bestFit="1" customWidth="1"/>
    <col min="9745" max="9984" width="9.21875" style="172"/>
    <col min="9985" max="9985" width="9.5546875" style="172" bestFit="1" customWidth="1"/>
    <col min="9986" max="9986" width="46.21875" style="172" bestFit="1" customWidth="1"/>
    <col min="9987" max="9987" width="15.44140625" style="172" bestFit="1" customWidth="1"/>
    <col min="9988" max="9988" width="20.5546875" style="172" customWidth="1"/>
    <col min="9989" max="9989" width="21" style="172" bestFit="1" customWidth="1"/>
    <col min="9990" max="9990" width="6.21875" style="172" bestFit="1" customWidth="1"/>
    <col min="9991" max="9991" width="22.77734375" style="172" customWidth="1"/>
    <col min="9992" max="9992" width="23.5546875" style="172" customWidth="1"/>
    <col min="9993" max="9993" width="26.77734375" style="172" customWidth="1"/>
    <col min="9994" max="9994" width="19" style="172" customWidth="1"/>
    <col min="9995" max="9995" width="19.77734375" style="172" bestFit="1" customWidth="1"/>
    <col min="9996" max="9996" width="14.44140625" style="172" customWidth="1"/>
    <col min="9997" max="9998" width="24.77734375" style="172" bestFit="1" customWidth="1"/>
    <col min="9999" max="9999" width="24.44140625" style="172" bestFit="1" customWidth="1"/>
    <col min="10000" max="10000" width="24.77734375" style="172" bestFit="1" customWidth="1"/>
    <col min="10001" max="10240" width="9.21875" style="172"/>
    <col min="10241" max="10241" width="9.5546875" style="172" bestFit="1" customWidth="1"/>
    <col min="10242" max="10242" width="46.21875" style="172" bestFit="1" customWidth="1"/>
    <col min="10243" max="10243" width="15.44140625" style="172" bestFit="1" customWidth="1"/>
    <col min="10244" max="10244" width="20.5546875" style="172" customWidth="1"/>
    <col min="10245" max="10245" width="21" style="172" bestFit="1" customWidth="1"/>
    <col min="10246" max="10246" width="6.21875" style="172" bestFit="1" customWidth="1"/>
    <col min="10247" max="10247" width="22.77734375" style="172" customWidth="1"/>
    <col min="10248" max="10248" width="23.5546875" style="172" customWidth="1"/>
    <col min="10249" max="10249" width="26.77734375" style="172" customWidth="1"/>
    <col min="10250" max="10250" width="19" style="172" customWidth="1"/>
    <col min="10251" max="10251" width="19.77734375" style="172" bestFit="1" customWidth="1"/>
    <col min="10252" max="10252" width="14.44140625" style="172" customWidth="1"/>
    <col min="10253" max="10254" width="24.77734375" style="172" bestFit="1" customWidth="1"/>
    <col min="10255" max="10255" width="24.44140625" style="172" bestFit="1" customWidth="1"/>
    <col min="10256" max="10256" width="24.77734375" style="172" bestFit="1" customWidth="1"/>
    <col min="10257" max="10496" width="9.21875" style="172"/>
    <col min="10497" max="10497" width="9.5546875" style="172" bestFit="1" customWidth="1"/>
    <col min="10498" max="10498" width="46.21875" style="172" bestFit="1" customWidth="1"/>
    <col min="10499" max="10499" width="15.44140625" style="172" bestFit="1" customWidth="1"/>
    <col min="10500" max="10500" width="20.5546875" style="172" customWidth="1"/>
    <col min="10501" max="10501" width="21" style="172" bestFit="1" customWidth="1"/>
    <col min="10502" max="10502" width="6.21875" style="172" bestFit="1" customWidth="1"/>
    <col min="10503" max="10503" width="22.77734375" style="172" customWidth="1"/>
    <col min="10504" max="10504" width="23.5546875" style="172" customWidth="1"/>
    <col min="10505" max="10505" width="26.77734375" style="172" customWidth="1"/>
    <col min="10506" max="10506" width="19" style="172" customWidth="1"/>
    <col min="10507" max="10507" width="19.77734375" style="172" bestFit="1" customWidth="1"/>
    <col min="10508" max="10508" width="14.44140625" style="172" customWidth="1"/>
    <col min="10509" max="10510" width="24.77734375" style="172" bestFit="1" customWidth="1"/>
    <col min="10511" max="10511" width="24.44140625" style="172" bestFit="1" customWidth="1"/>
    <col min="10512" max="10512" width="24.77734375" style="172" bestFit="1" customWidth="1"/>
    <col min="10513" max="10752" width="9.21875" style="172"/>
    <col min="10753" max="10753" width="9.5546875" style="172" bestFit="1" customWidth="1"/>
    <col min="10754" max="10754" width="46.21875" style="172" bestFit="1" customWidth="1"/>
    <col min="10755" max="10755" width="15.44140625" style="172" bestFit="1" customWidth="1"/>
    <col min="10756" max="10756" width="20.5546875" style="172" customWidth="1"/>
    <col min="10757" max="10757" width="21" style="172" bestFit="1" customWidth="1"/>
    <col min="10758" max="10758" width="6.21875" style="172" bestFit="1" customWidth="1"/>
    <col min="10759" max="10759" width="22.77734375" style="172" customWidth="1"/>
    <col min="10760" max="10760" width="23.5546875" style="172" customWidth="1"/>
    <col min="10761" max="10761" width="26.77734375" style="172" customWidth="1"/>
    <col min="10762" max="10762" width="19" style="172" customWidth="1"/>
    <col min="10763" max="10763" width="19.77734375" style="172" bestFit="1" customWidth="1"/>
    <col min="10764" max="10764" width="14.44140625" style="172" customWidth="1"/>
    <col min="10765" max="10766" width="24.77734375" style="172" bestFit="1" customWidth="1"/>
    <col min="10767" max="10767" width="24.44140625" style="172" bestFit="1" customWidth="1"/>
    <col min="10768" max="10768" width="24.77734375" style="172" bestFit="1" customWidth="1"/>
    <col min="10769" max="11008" width="9.21875" style="172"/>
    <col min="11009" max="11009" width="9.5546875" style="172" bestFit="1" customWidth="1"/>
    <col min="11010" max="11010" width="46.21875" style="172" bestFit="1" customWidth="1"/>
    <col min="11011" max="11011" width="15.44140625" style="172" bestFit="1" customWidth="1"/>
    <col min="11012" max="11012" width="20.5546875" style="172" customWidth="1"/>
    <col min="11013" max="11013" width="21" style="172" bestFit="1" customWidth="1"/>
    <col min="11014" max="11014" width="6.21875" style="172" bestFit="1" customWidth="1"/>
    <col min="11015" max="11015" width="22.77734375" style="172" customWidth="1"/>
    <col min="11016" max="11016" width="23.5546875" style="172" customWidth="1"/>
    <col min="11017" max="11017" width="26.77734375" style="172" customWidth="1"/>
    <col min="11018" max="11018" width="19" style="172" customWidth="1"/>
    <col min="11019" max="11019" width="19.77734375" style="172" bestFit="1" customWidth="1"/>
    <col min="11020" max="11020" width="14.44140625" style="172" customWidth="1"/>
    <col min="11021" max="11022" width="24.77734375" style="172" bestFit="1" customWidth="1"/>
    <col min="11023" max="11023" width="24.44140625" style="172" bestFit="1" customWidth="1"/>
    <col min="11024" max="11024" width="24.77734375" style="172" bestFit="1" customWidth="1"/>
    <col min="11025" max="11264" width="9.21875" style="172"/>
    <col min="11265" max="11265" width="9.5546875" style="172" bestFit="1" customWidth="1"/>
    <col min="11266" max="11266" width="46.21875" style="172" bestFit="1" customWidth="1"/>
    <col min="11267" max="11267" width="15.44140625" style="172" bestFit="1" customWidth="1"/>
    <col min="11268" max="11268" width="20.5546875" style="172" customWidth="1"/>
    <col min="11269" max="11269" width="21" style="172" bestFit="1" customWidth="1"/>
    <col min="11270" max="11270" width="6.21875" style="172" bestFit="1" customWidth="1"/>
    <col min="11271" max="11271" width="22.77734375" style="172" customWidth="1"/>
    <col min="11272" max="11272" width="23.5546875" style="172" customWidth="1"/>
    <col min="11273" max="11273" width="26.77734375" style="172" customWidth="1"/>
    <col min="11274" max="11274" width="19" style="172" customWidth="1"/>
    <col min="11275" max="11275" width="19.77734375" style="172" bestFit="1" customWidth="1"/>
    <col min="11276" max="11276" width="14.44140625" style="172" customWidth="1"/>
    <col min="11277" max="11278" width="24.77734375" style="172" bestFit="1" customWidth="1"/>
    <col min="11279" max="11279" width="24.44140625" style="172" bestFit="1" customWidth="1"/>
    <col min="11280" max="11280" width="24.77734375" style="172" bestFit="1" customWidth="1"/>
    <col min="11281" max="11520" width="9.21875" style="172"/>
    <col min="11521" max="11521" width="9.5546875" style="172" bestFit="1" customWidth="1"/>
    <col min="11522" max="11522" width="46.21875" style="172" bestFit="1" customWidth="1"/>
    <col min="11523" max="11523" width="15.44140625" style="172" bestFit="1" customWidth="1"/>
    <col min="11524" max="11524" width="20.5546875" style="172" customWidth="1"/>
    <col min="11525" max="11525" width="21" style="172" bestFit="1" customWidth="1"/>
    <col min="11526" max="11526" width="6.21875" style="172" bestFit="1" customWidth="1"/>
    <col min="11527" max="11527" width="22.77734375" style="172" customWidth="1"/>
    <col min="11528" max="11528" width="23.5546875" style="172" customWidth="1"/>
    <col min="11529" max="11529" width="26.77734375" style="172" customWidth="1"/>
    <col min="11530" max="11530" width="19" style="172" customWidth="1"/>
    <col min="11531" max="11531" width="19.77734375" style="172" bestFit="1" customWidth="1"/>
    <col min="11532" max="11532" width="14.44140625" style="172" customWidth="1"/>
    <col min="11533" max="11534" width="24.77734375" style="172" bestFit="1" customWidth="1"/>
    <col min="11535" max="11535" width="24.44140625" style="172" bestFit="1" customWidth="1"/>
    <col min="11536" max="11536" width="24.77734375" style="172" bestFit="1" customWidth="1"/>
    <col min="11537" max="11776" width="9.21875" style="172"/>
    <col min="11777" max="11777" width="9.5546875" style="172" bestFit="1" customWidth="1"/>
    <col min="11778" max="11778" width="46.21875" style="172" bestFit="1" customWidth="1"/>
    <col min="11779" max="11779" width="15.44140625" style="172" bestFit="1" customWidth="1"/>
    <col min="11780" max="11780" width="20.5546875" style="172" customWidth="1"/>
    <col min="11781" max="11781" width="21" style="172" bestFit="1" customWidth="1"/>
    <col min="11782" max="11782" width="6.21875" style="172" bestFit="1" customWidth="1"/>
    <col min="11783" max="11783" width="22.77734375" style="172" customWidth="1"/>
    <col min="11784" max="11784" width="23.5546875" style="172" customWidth="1"/>
    <col min="11785" max="11785" width="26.77734375" style="172" customWidth="1"/>
    <col min="11786" max="11786" width="19" style="172" customWidth="1"/>
    <col min="11787" max="11787" width="19.77734375" style="172" bestFit="1" customWidth="1"/>
    <col min="11788" max="11788" width="14.44140625" style="172" customWidth="1"/>
    <col min="11789" max="11790" width="24.77734375" style="172" bestFit="1" customWidth="1"/>
    <col min="11791" max="11791" width="24.44140625" style="172" bestFit="1" customWidth="1"/>
    <col min="11792" max="11792" width="24.77734375" style="172" bestFit="1" customWidth="1"/>
    <col min="11793" max="12032" width="9.21875" style="172"/>
    <col min="12033" max="12033" width="9.5546875" style="172" bestFit="1" customWidth="1"/>
    <col min="12034" max="12034" width="46.21875" style="172" bestFit="1" customWidth="1"/>
    <col min="12035" max="12035" width="15.44140625" style="172" bestFit="1" customWidth="1"/>
    <col min="12036" max="12036" width="20.5546875" style="172" customWidth="1"/>
    <col min="12037" max="12037" width="21" style="172" bestFit="1" customWidth="1"/>
    <col min="12038" max="12038" width="6.21875" style="172" bestFit="1" customWidth="1"/>
    <col min="12039" max="12039" width="22.77734375" style="172" customWidth="1"/>
    <col min="12040" max="12040" width="23.5546875" style="172" customWidth="1"/>
    <col min="12041" max="12041" width="26.77734375" style="172" customWidth="1"/>
    <col min="12042" max="12042" width="19" style="172" customWidth="1"/>
    <col min="12043" max="12043" width="19.77734375" style="172" bestFit="1" customWidth="1"/>
    <col min="12044" max="12044" width="14.44140625" style="172" customWidth="1"/>
    <col min="12045" max="12046" width="24.77734375" style="172" bestFit="1" customWidth="1"/>
    <col min="12047" max="12047" width="24.44140625" style="172" bestFit="1" customWidth="1"/>
    <col min="12048" max="12048" width="24.77734375" style="172" bestFit="1" customWidth="1"/>
    <col min="12049" max="12288" width="9.21875" style="172"/>
    <col min="12289" max="12289" width="9.5546875" style="172" bestFit="1" customWidth="1"/>
    <col min="12290" max="12290" width="46.21875" style="172" bestFit="1" customWidth="1"/>
    <col min="12291" max="12291" width="15.44140625" style="172" bestFit="1" customWidth="1"/>
    <col min="12292" max="12292" width="20.5546875" style="172" customWidth="1"/>
    <col min="12293" max="12293" width="21" style="172" bestFit="1" customWidth="1"/>
    <col min="12294" max="12294" width="6.21875" style="172" bestFit="1" customWidth="1"/>
    <col min="12295" max="12295" width="22.77734375" style="172" customWidth="1"/>
    <col min="12296" max="12296" width="23.5546875" style="172" customWidth="1"/>
    <col min="12297" max="12297" width="26.77734375" style="172" customWidth="1"/>
    <col min="12298" max="12298" width="19" style="172" customWidth="1"/>
    <col min="12299" max="12299" width="19.77734375" style="172" bestFit="1" customWidth="1"/>
    <col min="12300" max="12300" width="14.44140625" style="172" customWidth="1"/>
    <col min="12301" max="12302" width="24.77734375" style="172" bestFit="1" customWidth="1"/>
    <col min="12303" max="12303" width="24.44140625" style="172" bestFit="1" customWidth="1"/>
    <col min="12304" max="12304" width="24.77734375" style="172" bestFit="1" customWidth="1"/>
    <col min="12305" max="12544" width="9.21875" style="172"/>
    <col min="12545" max="12545" width="9.5546875" style="172" bestFit="1" customWidth="1"/>
    <col min="12546" max="12546" width="46.21875" style="172" bestFit="1" customWidth="1"/>
    <col min="12547" max="12547" width="15.44140625" style="172" bestFit="1" customWidth="1"/>
    <col min="12548" max="12548" width="20.5546875" style="172" customWidth="1"/>
    <col min="12549" max="12549" width="21" style="172" bestFit="1" customWidth="1"/>
    <col min="12550" max="12550" width="6.21875" style="172" bestFit="1" customWidth="1"/>
    <col min="12551" max="12551" width="22.77734375" style="172" customWidth="1"/>
    <col min="12552" max="12552" width="23.5546875" style="172" customWidth="1"/>
    <col min="12553" max="12553" width="26.77734375" style="172" customWidth="1"/>
    <col min="12554" max="12554" width="19" style="172" customWidth="1"/>
    <col min="12555" max="12555" width="19.77734375" style="172" bestFit="1" customWidth="1"/>
    <col min="12556" max="12556" width="14.44140625" style="172" customWidth="1"/>
    <col min="12557" max="12558" width="24.77734375" style="172" bestFit="1" customWidth="1"/>
    <col min="12559" max="12559" width="24.44140625" style="172" bestFit="1" customWidth="1"/>
    <col min="12560" max="12560" width="24.77734375" style="172" bestFit="1" customWidth="1"/>
    <col min="12561" max="12800" width="9.21875" style="172"/>
    <col min="12801" max="12801" width="9.5546875" style="172" bestFit="1" customWidth="1"/>
    <col min="12802" max="12802" width="46.21875" style="172" bestFit="1" customWidth="1"/>
    <col min="12803" max="12803" width="15.44140625" style="172" bestFit="1" customWidth="1"/>
    <col min="12804" max="12804" width="20.5546875" style="172" customWidth="1"/>
    <col min="12805" max="12805" width="21" style="172" bestFit="1" customWidth="1"/>
    <col min="12806" max="12806" width="6.21875" style="172" bestFit="1" customWidth="1"/>
    <col min="12807" max="12807" width="22.77734375" style="172" customWidth="1"/>
    <col min="12808" max="12808" width="23.5546875" style="172" customWidth="1"/>
    <col min="12809" max="12809" width="26.77734375" style="172" customWidth="1"/>
    <col min="12810" max="12810" width="19" style="172" customWidth="1"/>
    <col min="12811" max="12811" width="19.77734375" style="172" bestFit="1" customWidth="1"/>
    <col min="12812" max="12812" width="14.44140625" style="172" customWidth="1"/>
    <col min="12813" max="12814" width="24.77734375" style="172" bestFit="1" customWidth="1"/>
    <col min="12815" max="12815" width="24.44140625" style="172" bestFit="1" customWidth="1"/>
    <col min="12816" max="12816" width="24.77734375" style="172" bestFit="1" customWidth="1"/>
    <col min="12817" max="13056" width="9.21875" style="172"/>
    <col min="13057" max="13057" width="9.5546875" style="172" bestFit="1" customWidth="1"/>
    <col min="13058" max="13058" width="46.21875" style="172" bestFit="1" customWidth="1"/>
    <col min="13059" max="13059" width="15.44140625" style="172" bestFit="1" customWidth="1"/>
    <col min="13060" max="13060" width="20.5546875" style="172" customWidth="1"/>
    <col min="13061" max="13061" width="21" style="172" bestFit="1" customWidth="1"/>
    <col min="13062" max="13062" width="6.21875" style="172" bestFit="1" customWidth="1"/>
    <col min="13063" max="13063" width="22.77734375" style="172" customWidth="1"/>
    <col min="13064" max="13064" width="23.5546875" style="172" customWidth="1"/>
    <col min="13065" max="13065" width="26.77734375" style="172" customWidth="1"/>
    <col min="13066" max="13066" width="19" style="172" customWidth="1"/>
    <col min="13067" max="13067" width="19.77734375" style="172" bestFit="1" customWidth="1"/>
    <col min="13068" max="13068" width="14.44140625" style="172" customWidth="1"/>
    <col min="13069" max="13070" width="24.77734375" style="172" bestFit="1" customWidth="1"/>
    <col min="13071" max="13071" width="24.44140625" style="172" bestFit="1" customWidth="1"/>
    <col min="13072" max="13072" width="24.77734375" style="172" bestFit="1" customWidth="1"/>
    <col min="13073" max="13312" width="9.21875" style="172"/>
    <col min="13313" max="13313" width="9.5546875" style="172" bestFit="1" customWidth="1"/>
    <col min="13314" max="13314" width="46.21875" style="172" bestFit="1" customWidth="1"/>
    <col min="13315" max="13315" width="15.44140625" style="172" bestFit="1" customWidth="1"/>
    <col min="13316" max="13316" width="20.5546875" style="172" customWidth="1"/>
    <col min="13317" max="13317" width="21" style="172" bestFit="1" customWidth="1"/>
    <col min="13318" max="13318" width="6.21875" style="172" bestFit="1" customWidth="1"/>
    <col min="13319" max="13319" width="22.77734375" style="172" customWidth="1"/>
    <col min="13320" max="13320" width="23.5546875" style="172" customWidth="1"/>
    <col min="13321" max="13321" width="26.77734375" style="172" customWidth="1"/>
    <col min="13322" max="13322" width="19" style="172" customWidth="1"/>
    <col min="13323" max="13323" width="19.77734375" style="172" bestFit="1" customWidth="1"/>
    <col min="13324" max="13324" width="14.44140625" style="172" customWidth="1"/>
    <col min="13325" max="13326" width="24.77734375" style="172" bestFit="1" customWidth="1"/>
    <col min="13327" max="13327" width="24.44140625" style="172" bestFit="1" customWidth="1"/>
    <col min="13328" max="13328" width="24.77734375" style="172" bestFit="1" customWidth="1"/>
    <col min="13329" max="13568" width="9.21875" style="172"/>
    <col min="13569" max="13569" width="9.5546875" style="172" bestFit="1" customWidth="1"/>
    <col min="13570" max="13570" width="46.21875" style="172" bestFit="1" customWidth="1"/>
    <col min="13571" max="13571" width="15.44140625" style="172" bestFit="1" customWidth="1"/>
    <col min="13572" max="13572" width="20.5546875" style="172" customWidth="1"/>
    <col min="13573" max="13573" width="21" style="172" bestFit="1" customWidth="1"/>
    <col min="13574" max="13574" width="6.21875" style="172" bestFit="1" customWidth="1"/>
    <col min="13575" max="13575" width="22.77734375" style="172" customWidth="1"/>
    <col min="13576" max="13576" width="23.5546875" style="172" customWidth="1"/>
    <col min="13577" max="13577" width="26.77734375" style="172" customWidth="1"/>
    <col min="13578" max="13578" width="19" style="172" customWidth="1"/>
    <col min="13579" max="13579" width="19.77734375" style="172" bestFit="1" customWidth="1"/>
    <col min="13580" max="13580" width="14.44140625" style="172" customWidth="1"/>
    <col min="13581" max="13582" width="24.77734375" style="172" bestFit="1" customWidth="1"/>
    <col min="13583" max="13583" width="24.44140625" style="172" bestFit="1" customWidth="1"/>
    <col min="13584" max="13584" width="24.77734375" style="172" bestFit="1" customWidth="1"/>
    <col min="13585" max="13824" width="9.21875" style="172"/>
    <col min="13825" max="13825" width="9.5546875" style="172" bestFit="1" customWidth="1"/>
    <col min="13826" max="13826" width="46.21875" style="172" bestFit="1" customWidth="1"/>
    <col min="13827" max="13827" width="15.44140625" style="172" bestFit="1" customWidth="1"/>
    <col min="13828" max="13828" width="20.5546875" style="172" customWidth="1"/>
    <col min="13829" max="13829" width="21" style="172" bestFit="1" customWidth="1"/>
    <col min="13830" max="13830" width="6.21875" style="172" bestFit="1" customWidth="1"/>
    <col min="13831" max="13831" width="22.77734375" style="172" customWidth="1"/>
    <col min="13832" max="13832" width="23.5546875" style="172" customWidth="1"/>
    <col min="13833" max="13833" width="26.77734375" style="172" customWidth="1"/>
    <col min="13834" max="13834" width="19" style="172" customWidth="1"/>
    <col min="13835" max="13835" width="19.77734375" style="172" bestFit="1" customWidth="1"/>
    <col min="13836" max="13836" width="14.44140625" style="172" customWidth="1"/>
    <col min="13837" max="13838" width="24.77734375" style="172" bestFit="1" customWidth="1"/>
    <col min="13839" max="13839" width="24.44140625" style="172" bestFit="1" customWidth="1"/>
    <col min="13840" max="13840" width="24.77734375" style="172" bestFit="1" customWidth="1"/>
    <col min="13841" max="14080" width="9.21875" style="172"/>
    <col min="14081" max="14081" width="9.5546875" style="172" bestFit="1" customWidth="1"/>
    <col min="14082" max="14082" width="46.21875" style="172" bestFit="1" customWidth="1"/>
    <col min="14083" max="14083" width="15.44140625" style="172" bestFit="1" customWidth="1"/>
    <col min="14084" max="14084" width="20.5546875" style="172" customWidth="1"/>
    <col min="14085" max="14085" width="21" style="172" bestFit="1" customWidth="1"/>
    <col min="14086" max="14086" width="6.21875" style="172" bestFit="1" customWidth="1"/>
    <col min="14087" max="14087" width="22.77734375" style="172" customWidth="1"/>
    <col min="14088" max="14088" width="23.5546875" style="172" customWidth="1"/>
    <col min="14089" max="14089" width="26.77734375" style="172" customWidth="1"/>
    <col min="14090" max="14090" width="19" style="172" customWidth="1"/>
    <col min="14091" max="14091" width="19.77734375" style="172" bestFit="1" customWidth="1"/>
    <col min="14092" max="14092" width="14.44140625" style="172" customWidth="1"/>
    <col min="14093" max="14094" width="24.77734375" style="172" bestFit="1" customWidth="1"/>
    <col min="14095" max="14095" width="24.44140625" style="172" bestFit="1" customWidth="1"/>
    <col min="14096" max="14096" width="24.77734375" style="172" bestFit="1" customWidth="1"/>
    <col min="14097" max="14336" width="9.21875" style="172"/>
    <col min="14337" max="14337" width="9.5546875" style="172" bestFit="1" customWidth="1"/>
    <col min="14338" max="14338" width="46.21875" style="172" bestFit="1" customWidth="1"/>
    <col min="14339" max="14339" width="15.44140625" style="172" bestFit="1" customWidth="1"/>
    <col min="14340" max="14340" width="20.5546875" style="172" customWidth="1"/>
    <col min="14341" max="14341" width="21" style="172" bestFit="1" customWidth="1"/>
    <col min="14342" max="14342" width="6.21875" style="172" bestFit="1" customWidth="1"/>
    <col min="14343" max="14343" width="22.77734375" style="172" customWidth="1"/>
    <col min="14344" max="14344" width="23.5546875" style="172" customWidth="1"/>
    <col min="14345" max="14345" width="26.77734375" style="172" customWidth="1"/>
    <col min="14346" max="14346" width="19" style="172" customWidth="1"/>
    <col min="14347" max="14347" width="19.77734375" style="172" bestFit="1" customWidth="1"/>
    <col min="14348" max="14348" width="14.44140625" style="172" customWidth="1"/>
    <col min="14349" max="14350" width="24.77734375" style="172" bestFit="1" customWidth="1"/>
    <col min="14351" max="14351" width="24.44140625" style="172" bestFit="1" customWidth="1"/>
    <col min="14352" max="14352" width="24.77734375" style="172" bestFit="1" customWidth="1"/>
    <col min="14353" max="14592" width="9.21875" style="172"/>
    <col min="14593" max="14593" width="9.5546875" style="172" bestFit="1" customWidth="1"/>
    <col min="14594" max="14594" width="46.21875" style="172" bestFit="1" customWidth="1"/>
    <col min="14595" max="14595" width="15.44140625" style="172" bestFit="1" customWidth="1"/>
    <col min="14596" max="14596" width="20.5546875" style="172" customWidth="1"/>
    <col min="14597" max="14597" width="21" style="172" bestFit="1" customWidth="1"/>
    <col min="14598" max="14598" width="6.21875" style="172" bestFit="1" customWidth="1"/>
    <col min="14599" max="14599" width="22.77734375" style="172" customWidth="1"/>
    <col min="14600" max="14600" width="23.5546875" style="172" customWidth="1"/>
    <col min="14601" max="14601" width="26.77734375" style="172" customWidth="1"/>
    <col min="14602" max="14602" width="19" style="172" customWidth="1"/>
    <col min="14603" max="14603" width="19.77734375" style="172" bestFit="1" customWidth="1"/>
    <col min="14604" max="14604" width="14.44140625" style="172" customWidth="1"/>
    <col min="14605" max="14606" width="24.77734375" style="172" bestFit="1" customWidth="1"/>
    <col min="14607" max="14607" width="24.44140625" style="172" bestFit="1" customWidth="1"/>
    <col min="14608" max="14608" width="24.77734375" style="172" bestFit="1" customWidth="1"/>
    <col min="14609" max="14848" width="9.21875" style="172"/>
    <col min="14849" max="14849" width="9.5546875" style="172" bestFit="1" customWidth="1"/>
    <col min="14850" max="14850" width="46.21875" style="172" bestFit="1" customWidth="1"/>
    <col min="14851" max="14851" width="15.44140625" style="172" bestFit="1" customWidth="1"/>
    <col min="14852" max="14852" width="20.5546875" style="172" customWidth="1"/>
    <col min="14853" max="14853" width="21" style="172" bestFit="1" customWidth="1"/>
    <col min="14854" max="14854" width="6.21875" style="172" bestFit="1" customWidth="1"/>
    <col min="14855" max="14855" width="22.77734375" style="172" customWidth="1"/>
    <col min="14856" max="14856" width="23.5546875" style="172" customWidth="1"/>
    <col min="14857" max="14857" width="26.77734375" style="172" customWidth="1"/>
    <col min="14858" max="14858" width="19" style="172" customWidth="1"/>
    <col min="14859" max="14859" width="19.77734375" style="172" bestFit="1" customWidth="1"/>
    <col min="14860" max="14860" width="14.44140625" style="172" customWidth="1"/>
    <col min="14861" max="14862" width="24.77734375" style="172" bestFit="1" customWidth="1"/>
    <col min="14863" max="14863" width="24.44140625" style="172" bestFit="1" customWidth="1"/>
    <col min="14864" max="14864" width="24.77734375" style="172" bestFit="1" customWidth="1"/>
    <col min="14865" max="15104" width="9.21875" style="172"/>
    <col min="15105" max="15105" width="9.5546875" style="172" bestFit="1" customWidth="1"/>
    <col min="15106" max="15106" width="46.21875" style="172" bestFit="1" customWidth="1"/>
    <col min="15107" max="15107" width="15.44140625" style="172" bestFit="1" customWidth="1"/>
    <col min="15108" max="15108" width="20.5546875" style="172" customWidth="1"/>
    <col min="15109" max="15109" width="21" style="172" bestFit="1" customWidth="1"/>
    <col min="15110" max="15110" width="6.21875" style="172" bestFit="1" customWidth="1"/>
    <col min="15111" max="15111" width="22.77734375" style="172" customWidth="1"/>
    <col min="15112" max="15112" width="23.5546875" style="172" customWidth="1"/>
    <col min="15113" max="15113" width="26.77734375" style="172" customWidth="1"/>
    <col min="15114" max="15114" width="19" style="172" customWidth="1"/>
    <col min="15115" max="15115" width="19.77734375" style="172" bestFit="1" customWidth="1"/>
    <col min="15116" max="15116" width="14.44140625" style="172" customWidth="1"/>
    <col min="15117" max="15118" width="24.77734375" style="172" bestFit="1" customWidth="1"/>
    <col min="15119" max="15119" width="24.44140625" style="172" bestFit="1" customWidth="1"/>
    <col min="15120" max="15120" width="24.77734375" style="172" bestFit="1" customWidth="1"/>
    <col min="15121" max="15360" width="9.21875" style="172"/>
    <col min="15361" max="15361" width="9.5546875" style="172" bestFit="1" customWidth="1"/>
    <col min="15362" max="15362" width="46.21875" style="172" bestFit="1" customWidth="1"/>
    <col min="15363" max="15363" width="15.44140625" style="172" bestFit="1" customWidth="1"/>
    <col min="15364" max="15364" width="20.5546875" style="172" customWidth="1"/>
    <col min="15365" max="15365" width="21" style="172" bestFit="1" customWidth="1"/>
    <col min="15366" max="15366" width="6.21875" style="172" bestFit="1" customWidth="1"/>
    <col min="15367" max="15367" width="22.77734375" style="172" customWidth="1"/>
    <col min="15368" max="15368" width="23.5546875" style="172" customWidth="1"/>
    <col min="15369" max="15369" width="26.77734375" style="172" customWidth="1"/>
    <col min="15370" max="15370" width="19" style="172" customWidth="1"/>
    <col min="15371" max="15371" width="19.77734375" style="172" bestFit="1" customWidth="1"/>
    <col min="15372" max="15372" width="14.44140625" style="172" customWidth="1"/>
    <col min="15373" max="15374" width="24.77734375" style="172" bestFit="1" customWidth="1"/>
    <col min="15375" max="15375" width="24.44140625" style="172" bestFit="1" customWidth="1"/>
    <col min="15376" max="15376" width="24.77734375" style="172" bestFit="1" customWidth="1"/>
    <col min="15377" max="15616" width="9.21875" style="172"/>
    <col min="15617" max="15617" width="9.5546875" style="172" bestFit="1" customWidth="1"/>
    <col min="15618" max="15618" width="46.21875" style="172" bestFit="1" customWidth="1"/>
    <col min="15619" max="15619" width="15.44140625" style="172" bestFit="1" customWidth="1"/>
    <col min="15620" max="15620" width="20.5546875" style="172" customWidth="1"/>
    <col min="15621" max="15621" width="21" style="172" bestFit="1" customWidth="1"/>
    <col min="15622" max="15622" width="6.21875" style="172" bestFit="1" customWidth="1"/>
    <col min="15623" max="15623" width="22.77734375" style="172" customWidth="1"/>
    <col min="15624" max="15624" width="23.5546875" style="172" customWidth="1"/>
    <col min="15625" max="15625" width="26.77734375" style="172" customWidth="1"/>
    <col min="15626" max="15626" width="19" style="172" customWidth="1"/>
    <col min="15627" max="15627" width="19.77734375" style="172" bestFit="1" customWidth="1"/>
    <col min="15628" max="15628" width="14.44140625" style="172" customWidth="1"/>
    <col min="15629" max="15630" width="24.77734375" style="172" bestFit="1" customWidth="1"/>
    <col min="15631" max="15631" width="24.44140625" style="172" bestFit="1" customWidth="1"/>
    <col min="15632" max="15632" width="24.77734375" style="172" bestFit="1" customWidth="1"/>
    <col min="15633" max="15872" width="9.21875" style="172"/>
    <col min="15873" max="15873" width="9.5546875" style="172" bestFit="1" customWidth="1"/>
    <col min="15874" max="15874" width="46.21875" style="172" bestFit="1" customWidth="1"/>
    <col min="15875" max="15875" width="15.44140625" style="172" bestFit="1" customWidth="1"/>
    <col min="15876" max="15876" width="20.5546875" style="172" customWidth="1"/>
    <col min="15877" max="15877" width="21" style="172" bestFit="1" customWidth="1"/>
    <col min="15878" max="15878" width="6.21875" style="172" bestFit="1" customWidth="1"/>
    <col min="15879" max="15879" width="22.77734375" style="172" customWidth="1"/>
    <col min="15880" max="15880" width="23.5546875" style="172" customWidth="1"/>
    <col min="15881" max="15881" width="26.77734375" style="172" customWidth="1"/>
    <col min="15882" max="15882" width="19" style="172" customWidth="1"/>
    <col min="15883" max="15883" width="19.77734375" style="172" bestFit="1" customWidth="1"/>
    <col min="15884" max="15884" width="14.44140625" style="172" customWidth="1"/>
    <col min="15885" max="15886" width="24.77734375" style="172" bestFit="1" customWidth="1"/>
    <col min="15887" max="15887" width="24.44140625" style="172" bestFit="1" customWidth="1"/>
    <col min="15888" max="15888" width="24.77734375" style="172" bestFit="1" customWidth="1"/>
    <col min="15889" max="16128" width="9.21875" style="172"/>
    <col min="16129" max="16129" width="9.5546875" style="172" bestFit="1" customWidth="1"/>
    <col min="16130" max="16130" width="46.21875" style="172" bestFit="1" customWidth="1"/>
    <col min="16131" max="16131" width="15.44140625" style="172" bestFit="1" customWidth="1"/>
    <col min="16132" max="16132" width="20.5546875" style="172" customWidth="1"/>
    <col min="16133" max="16133" width="21" style="172" bestFit="1" customWidth="1"/>
    <col min="16134" max="16134" width="6.21875" style="172" bestFit="1" customWidth="1"/>
    <col min="16135" max="16135" width="22.77734375" style="172" customWidth="1"/>
    <col min="16136" max="16136" width="23.5546875" style="172" customWidth="1"/>
    <col min="16137" max="16137" width="26.77734375" style="172" customWidth="1"/>
    <col min="16138" max="16138" width="19" style="172" customWidth="1"/>
    <col min="16139" max="16139" width="19.77734375" style="172" bestFit="1" customWidth="1"/>
    <col min="16140" max="16140" width="14.44140625" style="172" customWidth="1"/>
    <col min="16141" max="16142" width="24.77734375" style="172" bestFit="1" customWidth="1"/>
    <col min="16143" max="16143" width="24.44140625" style="172" bestFit="1" customWidth="1"/>
    <col min="16144" max="16144" width="24.77734375" style="172" bestFit="1" customWidth="1"/>
    <col min="16145" max="16384" width="9.21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2"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2"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2"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2"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2"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2"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2" x14ac:dyDescent="0.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399999999999999"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2"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2" x14ac:dyDescent="0.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2"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2"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2" x14ac:dyDescent="0.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2"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2"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2"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2"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2"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2"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3.2"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3.2"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3.2"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3.2"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3.2"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3.2" x14ac:dyDescent="0.25">
      <c r="A202" s="195"/>
      <c r="B202" s="277"/>
      <c r="C202" s="277"/>
      <c r="D202" s="277"/>
      <c r="E202" s="277"/>
      <c r="F202" s="277"/>
      <c r="G202" s="304"/>
      <c r="H202" s="277"/>
      <c r="I202" s="277"/>
      <c r="J202" s="277"/>
      <c r="K202" s="277"/>
      <c r="L202" s="278"/>
      <c r="M202" s="277"/>
      <c r="N202" s="277"/>
      <c r="O202" s="277"/>
      <c r="P202" s="277"/>
    </row>
    <row r="203" spans="1:16" ht="11.4" x14ac:dyDescent="0.2">
      <c r="A203" s="195"/>
      <c r="B203" s="277"/>
      <c r="C203" s="277"/>
      <c r="D203" s="277"/>
      <c r="E203" s="277"/>
      <c r="F203" s="277"/>
      <c r="G203" s="277"/>
      <c r="H203" s="321"/>
      <c r="I203" s="277"/>
      <c r="J203" s="277"/>
      <c r="K203" s="277"/>
      <c r="L203" s="278"/>
      <c r="M203" s="277"/>
      <c r="N203" s="277"/>
      <c r="O203" s="277"/>
      <c r="P203" s="277"/>
    </row>
    <row r="204" spans="1:16" ht="13.2" x14ac:dyDescent="0.25">
      <c r="A204" s="195"/>
      <c r="B204" s="277"/>
      <c r="C204" s="277"/>
      <c r="D204" s="277"/>
      <c r="E204" s="277"/>
      <c r="F204" s="277"/>
      <c r="G204" s="304"/>
      <c r="H204" s="277"/>
      <c r="I204" s="277"/>
      <c r="J204" s="277"/>
      <c r="K204" s="277"/>
      <c r="L204" s="278"/>
      <c r="M204" s="277"/>
      <c r="N204" s="277"/>
      <c r="O204" s="277"/>
      <c r="P204" s="277"/>
    </row>
    <row r="205" spans="1:16" ht="13.2" x14ac:dyDescent="0.25">
      <c r="A205" s="195"/>
      <c r="B205" s="277"/>
      <c r="C205" s="277"/>
      <c r="D205" s="277"/>
      <c r="E205" s="277"/>
      <c r="F205" s="277"/>
      <c r="G205" s="304"/>
      <c r="H205" s="277"/>
      <c r="I205" s="277"/>
      <c r="J205" s="277"/>
      <c r="K205" s="277"/>
      <c r="L205" s="278"/>
      <c r="M205" s="277"/>
      <c r="N205" s="277"/>
      <c r="O205" s="277"/>
      <c r="P205" s="277"/>
    </row>
    <row r="206" spans="1:16" ht="13.2"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3.2"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3.2" x14ac:dyDescent="0.25">
      <c r="A213" s="195"/>
      <c r="B213" s="277"/>
      <c r="C213" s="277"/>
      <c r="D213" s="277"/>
      <c r="E213" s="277"/>
      <c r="F213" s="277"/>
      <c r="G213" s="304"/>
      <c r="H213" s="277"/>
      <c r="I213" s="277"/>
      <c r="J213" s="277"/>
      <c r="K213" s="277"/>
      <c r="L213" s="278"/>
      <c r="M213" s="277"/>
      <c r="N213" s="277"/>
      <c r="O213" s="277"/>
      <c r="P213" s="277"/>
    </row>
    <row r="214" spans="1:16" ht="13.2"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3.2"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75" bestFit="1" customWidth="1"/>
    <col min="2" max="2" width="47.44140625" style="176" bestFit="1" customWidth="1"/>
    <col min="3" max="3" width="49.88671875" style="176" customWidth="1"/>
    <col min="4" max="4" width="11.5546875" style="180" customWidth="1"/>
    <col min="5" max="5" width="6" style="181" bestFit="1" customWidth="1"/>
    <col min="6" max="6" width="4.44140625" style="175" bestFit="1" customWidth="1"/>
    <col min="7" max="7" width="5.5546875" style="176" bestFit="1" customWidth="1"/>
    <col min="8" max="8" width="5.5546875" style="176" customWidth="1"/>
    <col min="9" max="9" width="9.1093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399999999999999"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399999999999999"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399999999999999"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399999999999999"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399999999999999"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399999999999999"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399999999999999"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399999999999999"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399999999999999"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0.399999999999999"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399999999999999"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399999999999999"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399999999999999"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6"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399999999999999"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399999999999999"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399999999999999"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6"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399999999999999"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399999999999999"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399999999999999"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399999999999999"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399999999999999"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399999999999999"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399999999999999"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399999999999999"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6" t="str">
        <f>Spolu!C3&amp;", "&amp;Spolu!C6</f>
        <v>Slovenský zväz moderného päťboja, Olympijské námestie 14290/1, Bratislava, 831 04</v>
      </c>
      <c r="B1" s="376"/>
      <c r="C1" s="376"/>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77" t="s">
        <v>1134</v>
      </c>
      <c r="F3" s="378"/>
      <c r="N3" s="137" t="str">
        <f t="shared" si="0"/>
        <v>c - príspevok Slovenskému paralympijskému výboru</v>
      </c>
      <c r="O3" s="137" t="s">
        <v>244</v>
      </c>
      <c r="P3" s="137" t="s">
        <v>245</v>
      </c>
    </row>
    <row r="4" spans="1:16" ht="45.75" customHeight="1" x14ac:dyDescent="0.25">
      <c r="E4" s="378"/>
      <c r="F4" s="378"/>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0"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
      <c r="A12" s="379" t="s">
        <v>1146</v>
      </c>
      <c r="B12" s="379"/>
      <c r="C12" s="379"/>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0"/>
      <c r="C14" s="380"/>
      <c r="F14" s="141"/>
      <c r="N14" s="137" t="str">
        <f t="shared" si="0"/>
        <v>n - organizovanie významnej súťaže podľa § 55 ods. 1 písm. b)</v>
      </c>
      <c r="O14" s="137" t="s">
        <v>265</v>
      </c>
      <c r="P14" s="137" t="s">
        <v>1148</v>
      </c>
    </row>
    <row r="15" spans="1:16" ht="32.1" customHeight="1" thickBot="1" x14ac:dyDescent="0.3">
      <c r="A15" s="139" t="s">
        <v>1149</v>
      </c>
      <c r="B15" s="381" t="s">
        <v>1150</v>
      </c>
      <c r="C15" s="382"/>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30788714</v>
      </c>
      <c r="E18" s="147" t="s">
        <v>1158</v>
      </c>
      <c r="F18" s="274">
        <v>421947749446</v>
      </c>
      <c r="N18" s="137" t="str">
        <f t="shared" si="0"/>
        <v xml:space="preserve">r - </v>
      </c>
      <c r="O18" s="137" t="s">
        <v>269</v>
      </c>
    </row>
    <row r="19" spans="1:16" x14ac:dyDescent="0.25">
      <c r="E19" s="147" t="s">
        <v>1159</v>
      </c>
      <c r="F19" s="274">
        <v>421947749756</v>
      </c>
    </row>
    <row r="20" spans="1:16" ht="15.6" thickBot="1" x14ac:dyDescent="0.3">
      <c r="A20" s="139" t="s">
        <v>292</v>
      </c>
      <c r="B20" s="143">
        <f>F6</f>
        <v>0</v>
      </c>
      <c r="E20" s="200"/>
      <c r="F20" s="275"/>
    </row>
    <row r="21" spans="1:16" ht="189" customHeight="1" x14ac:dyDescent="0.25">
      <c r="B21" s="203"/>
      <c r="C21" s="144"/>
    </row>
    <row r="22" spans="1:16" ht="39.75" customHeight="1" x14ac:dyDescent="0.25">
      <c r="B22" s="375" t="s">
        <v>1160</v>
      </c>
      <c r="C22" s="375"/>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6" t="str">
        <f>Spolu!C3&amp;", "&amp;Spolu!C6</f>
        <v>Slovenský zväz moderného päťboja, Olympijské námestie 14290/1, Bratislava, 831 04</v>
      </c>
      <c r="B1" s="376"/>
      <c r="C1" s="376"/>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77" t="s">
        <v>1134</v>
      </c>
      <c r="F3" s="378"/>
      <c r="N3" s="137" t="str">
        <f t="shared" si="0"/>
        <v>c - príspevok Slovenskému paralympijskému výboru</v>
      </c>
      <c r="O3" s="137" t="s">
        <v>244</v>
      </c>
      <c r="P3" s="137" t="str">
        <f>Spolu!B19</f>
        <v>príspevok Slovenskému paralympijskému výboru</v>
      </c>
    </row>
    <row r="4" spans="1:16" ht="45.75" customHeight="1" x14ac:dyDescent="0.25">
      <c r="E4" s="378"/>
      <c r="F4" s="378"/>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
      <c r="A12" s="379" t="s">
        <v>1165</v>
      </c>
      <c r="B12" s="379"/>
      <c r="C12" s="379"/>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5">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0"/>
      <c r="C13" s="380"/>
      <c r="F13" s="187" t="s">
        <v>1477</v>
      </c>
      <c r="N13" s="137" t="str">
        <f t="shared" si="0"/>
        <v>m - organizácia tradičných športových podujatí</v>
      </c>
      <c r="O13" s="137" t="s">
        <v>263</v>
      </c>
      <c r="P13" s="137" t="str">
        <f>Spolu!B29</f>
        <v>organizácia tradičných športových podujatí</v>
      </c>
    </row>
    <row r="14" spans="1:16" ht="34.35" customHeight="1" x14ac:dyDescent="0.25">
      <c r="A14" s="139" t="s">
        <v>1149</v>
      </c>
      <c r="B14" s="381" t="s">
        <v>1166</v>
      </c>
      <c r="C14" s="382"/>
      <c r="F14" s="302"/>
      <c r="N14" s="137" t="str">
        <f t="shared" si="0"/>
        <v xml:space="preserve">n - </v>
      </c>
      <c r="O14" s="137" t="s">
        <v>265</v>
      </c>
    </row>
    <row r="15" spans="1:16" ht="34.35" customHeight="1" x14ac:dyDescent="0.25">
      <c r="A15" s="139" t="s">
        <v>1167</v>
      </c>
      <c r="B15" s="381"/>
      <c r="C15" s="382"/>
      <c r="F15" s="384"/>
      <c r="N15" s="137" t="str">
        <f t="shared" si="0"/>
        <v xml:space="preserve">o - </v>
      </c>
      <c r="O15" s="137" t="s">
        <v>266</v>
      </c>
    </row>
    <row r="16" spans="1:16" x14ac:dyDescent="0.25">
      <c r="A16" s="139" t="s">
        <v>1152</v>
      </c>
      <c r="B16" s="142">
        <f>F8</f>
        <v>0</v>
      </c>
      <c r="C16" s="137"/>
      <c r="F16" s="384"/>
      <c r="N16" s="137" t="str">
        <f t="shared" si="0"/>
        <v xml:space="preserve">p - </v>
      </c>
      <c r="O16" s="137" t="s">
        <v>267</v>
      </c>
    </row>
    <row r="17" spans="1:16" ht="32.1" customHeight="1" x14ac:dyDescent="0.25">
      <c r="A17" s="139" t="s">
        <v>1155</v>
      </c>
      <c r="B17" s="142">
        <f>F9</f>
        <v>0</v>
      </c>
      <c r="C17" s="137"/>
      <c r="F17" s="384"/>
      <c r="N17" s="137" t="str">
        <f t="shared" si="0"/>
        <v xml:space="preserve">q - </v>
      </c>
      <c r="O17" s="137" t="s">
        <v>268</v>
      </c>
    </row>
    <row r="18" spans="1:16" ht="15.6" thickBot="1" x14ac:dyDescent="0.3">
      <c r="B18" s="185" t="s">
        <v>1168</v>
      </c>
      <c r="C18" s="186">
        <v>31</v>
      </c>
      <c r="N18" s="137" t="str">
        <f t="shared" si="0"/>
        <v xml:space="preserve">r - </v>
      </c>
      <c r="O18" s="137" t="s">
        <v>269</v>
      </c>
    </row>
    <row r="19" spans="1:16" x14ac:dyDescent="0.25">
      <c r="B19" s="185" t="s">
        <v>1157</v>
      </c>
      <c r="C19" s="142" t="str">
        <f>Spolu!C4</f>
        <v>30788714</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400000000000006"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3" t="s">
        <v>1160</v>
      </c>
      <c r="C24" s="383"/>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1171</v>
      </c>
    </row>
    <row r="2" spans="1:2" ht="30" customHeight="1" x14ac:dyDescent="0.25">
      <c r="A2" s="385" t="s">
        <v>1172</v>
      </c>
      <c r="B2" s="385"/>
    </row>
    <row r="3" spans="1:2"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Dušan Poláček</cp:lastModifiedBy>
  <cp:revision/>
  <cp:lastPrinted>2026-01-22T08:18:11Z</cp:lastPrinted>
  <dcterms:created xsi:type="dcterms:W3CDTF">2017-02-20T06:20:12Z</dcterms:created>
  <dcterms:modified xsi:type="dcterms:W3CDTF">2026-09-08T08:12:05Z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