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8_{7855BF57-80C8-4983-B140-2D13C0B6EC2B}" xr6:coauthVersionLast="47" xr6:coauthVersionMax="47" xr10:uidLastSave="{00000000-0000-0000-0000-000000000000}"/>
  <bookViews>
    <workbookView xWindow="-108" yWindow="-108" windowWidth="23256" windowHeight="12456" activeTab="2"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<sst xmlns="http://schemas.openxmlformats.org/spreadsheetml/2006/main" count="4081" uniqueCount="1863">
  <si>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</si>
  <si>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</si>
  <si>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</si>
  <si>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</si>
  <si>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</si>
  <si>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</si>
  <si>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</si>
  <si>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</si>
  <si>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</si>
  <si>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</si>
  <si>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</si>
  <si>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</si>
  <si>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</si>
  <si>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</si>
  <si>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</si>
  <si>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</si>
  <si>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</si>
  <si>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</si>
  <si>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</si>
  <si>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</si>
  <si>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</si>
  <si>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</si>
  <si>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</si>
  <si>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</si>
  <si>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</si>
  <si>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</si>
  <si>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</si>
  <si>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</si>
  <si>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</si>
  <si>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</si>
  <si>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</si>
  <si>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</si>
  <si>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</si>
  <si>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</si>
  <si>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</si>
  <si>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</si>
  <si>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</si>
  <si>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</si>
  <si>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</si>
  <si>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</si>
  <si>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</si>
  <si>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</si>
  <si>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</si>
  <si>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</si>
  <si>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</si>
  <si>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</si>
  <si>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</si>
  <si>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</si>
  <si>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</si>
  <si>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</si>
  <si>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</si>
  <si>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</si>
  <si>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</si>
  <si>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</si>
  <si>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</si>
  <si>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</si>
  <si>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</si>
  <si>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</si>
  <si>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</si>
  <si>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</si>
  <si>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</si>
  <si>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</si>
  <si>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</si>
  <si>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</si>
  <si>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</si>
  <si>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</si>
  <si>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</si>
  <si>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</si>
  <si>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</si>
  <si>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</si>
  <si>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</si>
  <si>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</si>
  <si>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</si>
  <si>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</si>
  <si>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</si>
  <si>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</si>
  <si>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</si>
  <si>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</si>
  <si>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</si>
  <si>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</si>
  <si>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</si>
  <si>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</si>
  <si>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</si>
  <si>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</si>
  <si>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</si>
  <si>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</si>
  <si>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</si>
  <si>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</si>
  <si>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</si>
  <si>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</si>
  <si>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</si>
  <si>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</si>
  <si>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</si>
  <si>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</si>
  <si>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</si>
  <si>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</si>
  <si>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</si>
  <si>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</si>
  <si>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</si>
  <si>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</si>
  <si>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</si>
  <si>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</si>
  <si>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</si>
  <si>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</si>
  <si>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</si>
  <si>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</si>
  <si>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</si>
  <si>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</si>
  <si>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</si>
  <si>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</si>
  <si>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</si>
  <si>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</si>
  <si>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</si>
  <si>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</si>
  <si>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</si>
  <si>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</si>
  <si>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</si>
  <si>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</si>
  <si>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</si>
  <si>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</si>
  <si>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</si>
  <si>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</si>
  <si>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</si>
  <si>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</si>
  <si>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</si>
  <si>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</si>
  <si>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</si>
  <si>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</si>
  <si>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</si>
  <si>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</si>
  <si>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</si>
  <si>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</si>
  <si>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</si>
  <si>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</si>
  <si>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</si>
  <si>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</si>
  <si>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</si>
  <si>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</si>
  <si>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</si>
  <si>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</si>
  <si>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</si>
  <si>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</si>
  <si>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</si>
  <si>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</si>
  <si>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</si>
  <si>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</si>
  <si>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</si>
  <si>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</si>
  <si>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</si>
  <si>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</si>
  <si>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</si>
  <si>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</si>
  <si>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</si>
  <si>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</si>
  <si>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</si>
  <si>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</si>
  <si>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</si>
  <si>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</si>
  <si>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</si>
  <si>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</si>
  <si>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</si>
  <si>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</si>
  <si>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</si>
  <si>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</si>
  <si>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</si>
  <si>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</si>
  <si>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</si>
  <si>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</si>
  <si>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</si>
  <si>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</si>
  <si>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</si>
  <si>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</si>
  <si>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</si>
  <si>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</si>
  <si>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</si>
  <si>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</si>
  <si>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</si>
  <si>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</si>
  <si>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</si>
  <si>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</si>
  <si>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</si>
  <si>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</si>
  <si>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</si>
  <si>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</si>
  <si>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</si>
  <si>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</si>
  <si>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</si>
  <si>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</si>
  <si>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</si>
  <si>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</si>
  <si>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</si>
  <si>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</si>
  <si>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</si>
  <si>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</si>
  <si>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</si>
  <si>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</si>
  <si>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</si>
  <si>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</si>
  <si>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</si>
  <si>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</si>
  <si>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</si>
  <si>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</si>
  <si>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</si>
  <si>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</si>
  <si>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</si>
  <si>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</si>
  <si>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</si>
  <si>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</si>
  <si>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</si>
  <si>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</si>
  <si>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</si>
  <si>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</si>
  <si>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</si>
  <si>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</si>
  <si>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</si>
  <si>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</si>
  <si>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</si>
  <si>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</si>
  <si>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</si>
  <si>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</si>
  <si>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</si>
  <si>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</si>
  <si>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</si>
  <si>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</si>
  <si>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</si>
  <si>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</si>
  <si>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</si>
  <si>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</si>
  <si>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</si>
  <si>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</si>
  <si>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</si>
  <si>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</si>
  <si>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</si>
  <si>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</si>
  <si>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</si>
  <si>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</si>
  <si>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</si>
  <si>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</si>
  <si>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</si>
  <si>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</si>
  <si>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</si>
  <si>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</si>
  <si>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</si>
  <si>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</si>
  <si>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</si>
  <si>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</si>
  <si>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</si>
  <si>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</si>
  <si>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</si>
  <si>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</si>
  <si>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</si>
  <si>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</si>
  <si>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</si>
  <si>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</si>
  <si>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</si>
  <si>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</si>
  <si>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</si>
  <si>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</si>
  <si>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</si>
  <si>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</si>
  <si>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</si>
  <si>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</si>
  <si>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</si>
  <si>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</si>
  <si>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</si>
  <si>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</si>
  <si>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</si>
  <si>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</si>
  <si>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</si>
  <si>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</si>
  <si>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</si>
  <si>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</si>
  <si>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</si>
  <si>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</si>
  <si>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</si>
  <si>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</si>
  <si>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</si>
  <si>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</si>
  <si>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</si>
  <si>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</si>
  <si>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</si>
  <si>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</si>
  <si>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</si>
  <si>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</si>
  <si>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</si>
  <si>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</si>
  <si>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</si>
  <si>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</si>
  <si>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</si>
  <si>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</si>
  <si>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</si>
  <si>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</si>
  <si>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</si>
  <si>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</si>
  <si>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</si>
  <si>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</si>
  <si>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</si>
  <si>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</si>
  <si>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</si>
  <si>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</si>
  <si>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</si>
  <si>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</si>
  <si>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</si>
  <si>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</si>
  <si>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</si>
  <si>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</si>
  <si>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</si>
  <si>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</si>
  <si>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</si>
  <si>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</si>
  <si>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</si>
  <si>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</si>
  <si>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</si>
  <si>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</si>
  <si>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</si>
  <si>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</si>
  <si>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</si>
  <si>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</si>
  <si>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</si>
  <si>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</si>
  <si>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</si>
  <si>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</si>
  <si>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</si>
  <si>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</si>
  <si>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</si>
  <si>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</si>
  <si>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</si>
  <si>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</si>
  <si>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</si>
  <si>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</si>
  <si>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</si>
  <si>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</si>
  <si>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</si>
  <si>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</si>
  <si>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</si>
  <si>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</si>
  <si>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</si>
  <si>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</si>
  <si>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</si>
  <si>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</si>
  <si>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</si>
  <si>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</si>
  <si>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</si>
  <si>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</si>
  <si>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</si>
  <si>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</si>
  <si>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</si>
  <si>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</si>
  <si>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</si>
  <si>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</si>
  <si>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</si>
  <si>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</si>
  <si>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</si>
  <si>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</si>
  <si>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</si>
  <si>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</si>
  <si>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</si>
  <si>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</si>
  <si>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</si>
  <si>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</si>
  <si>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</si>
  <si>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</si>
  <si>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</si>
  <si>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</si>
  <si>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</si>
  <si>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</si>
  <si>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</si>
  <si>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</si>
  <si>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</si>
  <si>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</si>
  <si>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</si>
  <si>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</si>
  <si>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</si>
  <si>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</si>
  <si>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</si>
  <si>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</si>
  <si>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</si>
  <si>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</si>
  <si>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</si>
  <si>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</si>
  <si>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</si>
  <si>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</si>
  <si>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</si>
  <si>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</si>
  <si>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</si>
  <si>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</si>
  <si>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</si>
  <si>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</si>
  <si>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</si>
  <si>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</si>
  <si>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</si>
  <si>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</si>
  <si>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</si>
  <si>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</si>
  <si>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</si>
  <si>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</si>
  <si>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</si>
  <si>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</si>
  <si>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</si>
  <si>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</si>
  <si>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</si>
  <si>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</si>
  <si>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</si>
  <si>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</si>
  <si>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</si>
  <si>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</si>
  <si>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</si>
  <si>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</si>
  <si>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</si>
  <si>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</si>
  <si>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</si>
  <si>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</si>
  <si>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</si>
  <si>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</si>
  <si>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</si>
  <si>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</si>
  <si>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</si>
  <si>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</si>
  <si>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</si>
  <si>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</si>
  <si>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</si>
  <si>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</si>
  <si>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</si>
  <si>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</si>
  <si>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</si>
  <si>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</si>
  <si>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</si>
  <si>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</si>
  <si>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</si>
  <si>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</si>
  <si>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</si>
  <si>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</si>
  <si>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</si>
  <si>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</si>
  <si>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</si>
  <si>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</si>
  <si>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</si>
  <si>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</si>
  <si>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</si>
  <si>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</si>
  <si>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</si>
  <si>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</si>
  <si>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</si>
  <si>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</si>
  <si>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</si>
  <si>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</si>
  <si>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</si>
  <si>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</si>
  <si>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</si>
  <si>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</si>
  <si>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</si>
  <si>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</si>
  <si>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</si>
  <si>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</si>
  <si>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</si>
  <si>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</si>
  <si>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</si>
  <si>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</si>
  <si>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</si>
  <si>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</si>
  <si>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</si>
  <si>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</si>
  <si>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</si>
  <si>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</si>
  <si>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</si>
  <si>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</si>
  <si>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</si>
  <si>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</si>
  <si>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</si>
  <si>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</si>
  <si>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</si>
  <si>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</si>
  <si>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</si>
  <si>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</si>
  <si>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</si>
  <si>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</si>
  <si>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</si>
  <si>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</si>
  <si>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</si>
  <si>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</si>
  <si>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</si>
  <si>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</si>
  <si>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</si>
  <si>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</si>
  <si>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</si>
  <si>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</si>
  <si>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</si>
  <si>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</si>
  <si>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</si>
  <si>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</si>
  <si>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</si>
  <si>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</si>
  <si>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</si>
  <si>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</si>
  <si>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</si>
  <si>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</si>
  <si>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</si>
  <si>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</si>
  <si>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</si>
  <si>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</si>
  <si>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</si>
  <si>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</si>
  <si>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</si>
  <si>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</si>
  <si>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</si>
  <si>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</si>
  <si>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</si>
  <si>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</si>
  <si>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</si>
  <si>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</si>
  <si>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</si>
  <si>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</si>
  <si>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</si>
  <si>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</si>
  <si>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</si>
  <si>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</si>
  <si>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</si>
  <si>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</si>
  <si>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</si>
  <si>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</si>
  <si>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</si>
  <si>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</si>
  <si>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</si>
  <si>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</si>
  <si>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</si>
  <si>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</si>
  <si>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</si>
  <si>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</si>
  <si>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</si>
  <si>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</si>
  <si>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</si>
  <si>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</si>
  <si>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</si>
  <si>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</si>
  <si>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</si>
  <si>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</si>
  <si>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</si>
  <si>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</si>
  <si>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</si>
  <si>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</si>
  <si>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</si>
  <si>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</si>
  <si>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</si>
  <si>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</si>
  <si>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</si>
  <si>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</si>
  <si>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</si>
  <si>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</si>
  <si>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</si>
  <si>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</si>
  <si>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</si>
  <si>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</si>
  <si>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</si>
  <si>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</si>
  <si>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</si>
  <si>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</si>
  <si>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</si>
  <si>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</si>
  <si>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</si>
  <si>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</si>
  <si>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</si>
  <si>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</si>
  <si>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</si>
  <si>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</si>
  <si>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</si>
  <si>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</si>
  <si>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</si>
  <si>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</si>
  <si>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</si>
  <si>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</si>
  <si>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</si>
  <si>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</si>
  <si>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</si>
  <si>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</si>
  <si>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</si>
  <si>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</si>
  <si>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</si>
  <si>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</si>
  <si>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</si>
  <si>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</si>
  <si>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</si>
  <si>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</si>
  <si>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</si>
  <si>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</si>
  <si>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</si>
  <si>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</si>
  <si>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</si>
  <si>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</si>
  <si>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</si>
  <si>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</si>
  <si>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</si>
  <si>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</si>
  <si>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</si>
  <si>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</si>
  <si>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</si>
  <si>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</si>
  <si>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</si>
  <si>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</si>
  <si>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</si>
  <si>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</si>
  <si>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</si>
  <si>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</si>
  <si>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</si>
  <si>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</si>
  <si>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</si>
  <si>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</si>
  <si>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</si>
  <si>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</si>
  <si>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</si>
  <si>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</si>
  <si>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</si>
  <si>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</si>
  <si>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</si>
  <si>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</si>
  <si>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</si>
  <si>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</si>
  <si>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</si>
  <si>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</si>
  <si>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</si>
  <si>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</si>
  <si>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</si>
  <si>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</si>
  <si>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</si>
  <si>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</si>
  <si>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</si>
  <si>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</si>
  <si>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</si>
  <si>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</si>
  <si>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</si>
  <si>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</si>
  <si>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</si>
  <si>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</si>
  <si>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</si>
  <si>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</si>
  <si>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</si>
  <si>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</si>
  <si>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</si>
  <si>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</si>
  <si>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</si>
  <si>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</si>
  <si>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</si>
  <si>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</si>
  <si>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</si>
  <si>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</si>
  <si>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</si>
  <si>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</si>
  <si>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</si>
  <si>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</si>
  <si>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</si>
  <si>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</si>
  <si>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</si>
  <si>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</si>
  <si>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</si>
  <si>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</si>
  <si>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</si>
  <si>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</si>
  <si>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</si>
  <si>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</si>
  <si>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</si>
  <si>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</si>
  <si>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</si>
  <si>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</si>
  <si>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</si>
  <si>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</si>
  <si>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</si>
  <si>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</si>
  <si>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</si>
  <si>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</si>
  <si>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</si>
  <si>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</si>
  <si>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</si>
  <si>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</si>
  <si>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</si>
  <si>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</si>
  <si>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</si>
  <si>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</si>
  <si>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</si>
  <si>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</si>
  <si>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</si>
  <si>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</si>
  <si>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</si>
  <si>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</si>
  <si>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</si>
  <si>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</si>
  <si>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</si>
  <si>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</si>
  <si>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</si>
  <si>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</si>
  <si>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</si>
  <si>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</si>
  <si>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</si>
  <si>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</si>
  <si>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</si>
  <si>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</si>
  <si>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</si>
  <si>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</si>
  <si>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</si>
  <si>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</si>
  <si>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</si>
  <si>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</si>
  <si>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</si>
  <si>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</si>
  <si>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</si>
  <si>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</si>
  <si>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</si>
  <si>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</si>
  <si>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</si>
  <si>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</si>
  <si>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</si>
  <si>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</si>
  <si>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</si>
  <si>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</si>
  <si>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</si>
  <si>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</si>
  <si>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</si>
  <si>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</si>
  <si>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</si>
  <si>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</si>
  <si>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</si>
  <si>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</si>
  <si>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</si>
  <si>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</si>
  <si>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</si>
  <si>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</si>
  <si>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</si>
  <si>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</si>
  <si>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</si>
  <si>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</si>
  <si>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</si>
  <si>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</si>
  <si>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</si>
  <si>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</si>
  <si>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</si>
  <si>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</si>
  <si>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</si>
  <si>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</si>
  <si>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</si>
  <si>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</si>
  <si>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</si>
  <si>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</si>
  <si>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</si>
  <si>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</si>
  <si>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</si>
  <si>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</si>
  <si>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</si>
  <si>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</si>
  <si>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</si>
  <si>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</si>
  <si>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</si>
  <si>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</si>
  <si>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</si>
  <si>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</si>
  <si>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</si>
  <si>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</si>
  <si>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</si>
  <si>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</si>
  <si>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</si>
  <si>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</si>
  <si>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</si>
  <si>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</si>
  <si>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</si>
  <si>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</si>
  <si>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</si>
  <si>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</si>
  <si>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</si>
  <si>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</si>
  <si>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</si>
  <si>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</si>
  <si>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</si>
  <si>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</si>
  <si>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</si>
  <si>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</si>
  <si>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</si>
  <si>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</si>
  <si>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</si>
  <si>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</si>
  <si>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</si>
  <si>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</si>
  <si>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</si>
  <si>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</si>
  <si>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</si>
  <si>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</si>
  <si>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</si>
  <si>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</si>
  <si>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</si>
  <si>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</si>
  <si>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</si>
  <si>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</si>
  <si>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</si>
  <si>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</si>
  <si>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</si>
  <si>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</si>
  <si>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</si>
  <si>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</si>
  <si>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</si>
  <si>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</si>
  <si>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</si>
  <si>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</si>
  <si>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</si>
  <si>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</si>
  <si>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</si>
  <si>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</si>
  <si>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</si>
  <si>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</si>
  <si>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</si>
  <si>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</si>
  <si>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</si>
  <si>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</si>
  <si>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</si>
  <si>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</si>
  <si>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</si>
  <si>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</si>
  <si>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</si>
  <si>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</si>
  <si>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</si>
  <si>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</si>
  <si>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</si>
  <si>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</si>
  <si>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</si>
  <si>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</si>
  <si>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</si>
  <si>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</si>
  <si>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</si>
  <si>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</si>
  <si>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</si>
  <si>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</si>
  <si>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</si>
  <si>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</si>
  <si>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</si>
  <si>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</si>
  <si>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</si>
  <si>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</si>
  <si>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</si>
  <si>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</si>
  <si>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</si>
  <si>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</si>
  <si>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</si>
  <si>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</si>
  <si>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</si>
  <si>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</si>
  <si>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</si>
  <si>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</si>
  <si>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</si>
  <si>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</si>
  <si>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</si>
  <si>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</si>
  <si>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</si>
  <si>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</si>
  <si>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</si>
  <si>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</si>
  <si>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</si>
  <si>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</si>
  <si>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</si>
  <si>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</si>
  <si>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</si>
  <si>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</si>
  <si>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</si>
  <si>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</si>
  <si>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</si>
  <si>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</si>
  <si>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</si>
  <si>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</si>
  <si>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</si>
  <si>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</si>
  <si>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</si>
  <si>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</si>
  <si>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</si>
  <si>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</si>
  <si>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</si>
  <si>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</si>
  <si>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</si>
  <si>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</si>
  <si>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</si>
  <si>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</si>
  <si>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</si>
  <si>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</si>
  <si>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</si>
  <si>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</si>
  <si>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</si>
  <si>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</si>
  <si>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</si>
  <si>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</si>
  <si>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</si>
  <si>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</si>
  <si>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</si>
  <si>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</si>
  <si>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</si>
  <si>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</si>
  <si>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</si>
  <si>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</si>
  <si>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</si>
  <si>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</si>
  <si>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</si>
  <si>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</si>
  <si>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</si>
  <si>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</si>
  <si>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</si>
  <si>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</si>
  <si>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</si>
  <si>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</si>
  <si>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</si>
  <si>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</si>
  <si>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</si>
  <si>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</si>
  <si>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</si>
  <si>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</si>
  <si>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</si>
  <si>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</si>
  <si>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</si>
  <si>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</si>
  <si>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</si>
  <si>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</si>
  <si>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</si>
  <si>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</si>
  <si>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</si>
  <si>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</si>
  <si>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</si>
  <si>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</si>
  <si>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</si>
  <si>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</si>
  <si>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</si>
  <si>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</si>
  <si>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</si>
  <si>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</si>
  <si>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</si>
  <si>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</si>
  <si>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</si>
  <si>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</si>
  <si>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</si>
  <si>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</si>
  <si>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</si>
  <si>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</si>
  <si>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</si>
  <si>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</si>
  <si>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</si>
  <si>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</si>
  <si>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</si>
  <si>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</si>
  <si>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</si>
  <si>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</si>
  <si>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</si>
  <si>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</si>
  <si>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</si>
  <si>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</si>
  <si>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</si>
  <si>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</si>
  <si>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</si>
  <si>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</si>
  <si>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</si>
  <si>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</si>
  <si>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</si>
  <si>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</si>
  <si>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</si>
  <si>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</si>
  <si>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</si>
  <si>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</si>
  <si>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</si>
  <si>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</si>
  <si>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</si>
  <si>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</si>
  <si>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</si>
  <si>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</si>
  <si>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</si>
  <si>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</si>
  <si>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</si>
  <si>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</si>
  <si>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</si>
  <si>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</si>
  <si>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</si>
  <si>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</si>
  <si>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</si>
  <si>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</si>
  <si>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</si>
  <si>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</si>
  <si>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</si>
  <si>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</si>
  <si>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</si>
  <si>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</si>
  <si>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</si>
  <si>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</si>
  <si>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</si>
  <si>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</si>
  <si>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</si>
  <si>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</si>
  <si>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</si>
  <si>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</si>
  <si>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</si>
  <si>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</si>
  <si>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</si>
  <si>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</si>
  <si>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</si>
  <si>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</si>
  <si>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</si>
  <si>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</si>
  <si>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</si>
  <si>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</si>
  <si>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</si>
  <si>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</si>
  <si>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</si>
  <si>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</si>
  <si>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</si>
  <si>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</si>
  <si>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</si>
  <si>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</si>
  <si>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</si>
  <si>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</si>
  <si>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</si>
  <si>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</si>
  <si>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</si>
  <si>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</si>
  <si>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</si>
  <si>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</si>
  <si>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</si>
  <si>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</si>
  <si>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</si>
  <si>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</si>
  <si>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</si>
  <si>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</si>
  <si>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</si>
  <si>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</si>
  <si>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</si>
  <si>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</si>
  <si>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</si>
  <si>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</si>
  <si>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</si>
  <si>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</si>
  <si>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</si>
  <si>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</si>
  <si>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</si>
  <si>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</si>
  <si>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</si>
  <si>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</si>
  <si>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</si>
  <si>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</si>
  <si>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</si>
  <si>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</si>
  <si>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</si>
  <si>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</si>
  <si>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</si>
  <si>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</si>
  <si>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</si>
  <si>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</si>
  <si>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</si>
  <si>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</si>
  <si>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</si>
  <si>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</si>
  <si>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</si>
  <si>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</si>
  <si>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</si>
  <si>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</si>
  <si>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</si>
  <si>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</si>
  <si>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</si>
  <si>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</si>
  <si>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</si>
  <si>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</si>
  <si>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</si>
  <si>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</si>
  <si>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</si>
  <si>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</si>
  <si>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</si>
  <si>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</si>
  <si>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</si>
  <si>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</si>
  <si>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</si>
  <si>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</si>
  <si>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</si>
  <si>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</si>
  <si>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</si>
  <si>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</si>
  <si>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</si>
  <si>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</si>
  <si>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</si>
  <si>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</si>
  <si>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</si>
  <si>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</si>
  <si>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</si>
  <si>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</si>
  <si>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</si>
  <si>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</si>
  <si>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</si>
  <si>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</si>
  <si>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</si>
  <si>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</si>
  <si>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</si>
  <si>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</si>
  <si>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</si>
  <si>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</si>
  <si>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</si>
  <si>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</si>
  <si>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</si>
  <si>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</si>
  <si>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</si>
  <si>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</si>
  <si>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</si>
  <si>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</si>
  <si>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</si>
  <si>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</si>
  <si>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</si>
  <si>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</si>
  <si>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</si>
  <si>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</si>
  <si>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</si>
  <si>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</si>
  <si>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</si>
  <si>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</si>
  <si>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</si>
  <si>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</si>
  <si>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</si>
  <si>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</si>
  <si>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</si>
  <si>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</si>
  <si>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</si>
  <si>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</si>
  <si>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</si>
  <si>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</si>
  <si>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</si>
  <si>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</si>
  <si>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</si>
  <si>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</si>
  <si>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</si>
  <si>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</si>
  <si>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</si>
  <si>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</si>
  <si>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</si>
  <si>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</si>
  <si>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</si>
  <si>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</si>
  <si>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</si>
  <si>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</si>
  <si>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</si>
  <si>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</si>
  <si>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</si>
  <si>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</si>
  <si>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</si>
  <si>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</si>
  <si>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</si>
  <si>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</si>
  <si>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</si>
  <si>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</si>
  <si>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</si>
  <si>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</si>
  <si>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</si>
  <si>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</si>
  <si>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</si>
  <si>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</si>
  <si>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</si>
  <si>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</si>
  <si>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</si>
  <si>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</si>
  <si>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</si>
  <si>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</si>
  <si>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</si>
  <si>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</si>
  <si>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</si>
  <si>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</si>
  <si>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</si>
  <si>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</si>
  <si>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</si>
  <si>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</si>
  <si>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</si>
  <si>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</si>
  <si>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</si>
  <si>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</si>
  <si>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</si>
  <si>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</si>
  <si>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</si>
  <si>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</si>
  <si>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</si>
  <si>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</si>
  <si>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</si>
  <si>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</si>
  <si>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</si>
  <si>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</si>
  <si>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</si>
  <si>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</si>
  <si>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</si>
  <si>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</si>
  <si>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</si>
  <si>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</si>
  <si>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</si>
  <si>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</si>
  <si>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</si>
  <si>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</si>
  <si>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</si>
  <si>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</si>
  <si>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</si>
  <si>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</si>
  <si>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</si>
  <si>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</si>
  <si>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</si>
  <si>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</si>
  <si>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</si>
  <si>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</si>
  <si>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</si>
  <si>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</si>
  <si>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</si>
  <si>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</si>
  <si>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</si>
  <si>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</si>
  <si>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</si>
  <si>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</si>
  <si>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</si>
  <si>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</si>
  <si>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</si>
  <si>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</si>
  <si>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</si>
  <si>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</si>
  <si>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</si>
  <si>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</si>
  <si>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</si>
  <si>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</si>
  <si>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</si>
  <si>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</si>
  <si>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</si>
  <si>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</si>
  <si>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</si>
  <si>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</si>
  <si>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</si>
  <si>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</si>
  <si>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</si>
  <si>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</si>
  <si>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</si>
  <si>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</si>
  <si>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</si>
  <si>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</si>
  <si>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</si>
  <si>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</si>
  <si>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</si>
  <si>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</si>
  <si>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</si>
  <si>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</si>
  <si>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</si>
  <si>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</si>
  <si>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</si>
  <si>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</si>
  <si>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</si>
  <si>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</si>
  <si>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</si>
  <si>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</si>
  <si>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</si>
  <si>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</si>
  <si>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</si>
  <si>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</si>
  <si>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</si>
  <si>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</si>
  <si>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</si>
  <si>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</si>
  <si>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</si>
  <si>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</si>
  <si>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</si>
  <si>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</si>
  <si>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</si>
  <si>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</si>
  <si>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</si>
  <si>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</si>
  <si>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</si>
  <si>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</si>
  <si>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</si>
  <si>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</si>
  <si>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</si>
  <si>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</si>
  <si>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</si>
  <si>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</si>
  <si>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</si>
  <si>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</si>
  <si>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</si>
  <si>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</si>
  <si>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</si>
  <si>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</si>
  <si>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</si>
  <si>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</si>
  <si>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</si>
  <si>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</si>
  <si>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</si>
  <si>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</si>
  <si>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</si>
  <si>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</si>
  <si>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</si>
  <si>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</si>
  <si>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</si>
  <si>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</si>
  <si>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</si>
  <si>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</si>
  <si>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</si>
  <si>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</si>
  <si>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</si>
  <si>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</si>
  <si>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</si>
  <si>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</si>
  <si>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</si>
  <si>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</si>
  <si>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</si>
  <si>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</si>
  <si>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</si>
  <si>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</si>
  <si>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</si>
  <si>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</si>
  <si>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</si>
  <si>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</si>
  <si>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</si>
  <si>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</si>
  <si>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</si>
  <si>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</si>
  <si>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</si>
  <si>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</si>
  <si>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</si>
  <si>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</si>
  <si>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</si>
  <si>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</si>
  <si>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</si>
  <si>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</si>
  <si>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</si>
  <si>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</si>
  <si>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</si>
  <si>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</si>
  <si>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</si>
  <si>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</si>
  <si>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</si>
  <si>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</si>
  <si>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</si>
  <si>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</si>
  <si>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</si>
  <si>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</si>
  <si>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</si>
  <si>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</si>
  <si>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</si>
  <si>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</si>
  <si>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</si>
  <si>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</si>
  <si>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</si>
  <si>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</si>
  <si>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</si>
  <si>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</si>
  <si>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</si>
  <si>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</si>
  <si>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</si>
  <si>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</si>
  <si>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</si>
  <si>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</si>
  <si>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</si>
  <si>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</si>
  <si>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</si>
  <si>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</si>
  <si>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</si>
  <si>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</si>
  <si>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</si>
  <si>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</si>
  <si>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</si>
  <si>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</si>
  <si>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</si>
  <si>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</si>
  <si>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</si>
  <si>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</si>
  <si>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</si>
  <si>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</si>
  <si>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</si>
  <si>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</si>
  <si>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</si>
  <si>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</si>
  <si>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</si>
  <si>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</si>
  <si>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</si>
  <si>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</si>
  <si>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</si>
  <si>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</si>
  <si>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</si>
  <si>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</si>
  <si>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</si>
  <si>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</si>
  <si>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</si>
  <si>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</si>
  <si>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</si>
  <si>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</si>
  <si>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</si>
  <si>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</si>
  <si>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</si>
  <si>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</si>
  <si>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</si>
  <si>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</si>
  <si>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</si>
  <si>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</si>
  <si>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</si>
  <si>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</si>
  <si>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</si>
  <si>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</si>
  <si>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</si>
  <si>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</si>
  <si>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</si>
  <si>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</si>
  <si>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</si>
  <si>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</si>
  <si>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</si>
  <si>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</si>
  <si>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</si>
  <si>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</si>
  <si>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</si>
  <si>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</si>
  <si>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</si>
  <si>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</si>
  <si>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</si>
  <si>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</si>
  <si>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</si>
  <si>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</si>
  <si>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</si>
  <si>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</si>
  <si>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</si>
  <si>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</si>
  <si>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</si>
  <si>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</si>
  <si>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</si>
  <si>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</si>
  <si>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</si>
  <si>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</si>
  <si>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</si>
  <si>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</si>
  <si>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</si>
  <si>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</si>
  <si>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</si>
  <si>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</si>
  <si>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</si>
  <si>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</si>
  <si>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</si>
  <si>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</si>
  <si>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</si>
  <si>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</si>
  <si>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</si>
  <si>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</si>
  <si>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</si>
  <si>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</si>
  <si>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</si>
  <si>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</si>
  <si>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</si>
  <si>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</si>
  <si>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</si>
  <si>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</si>
  <si>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</si>
  <si>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</si>
  <si>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</si>
  <si>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</si>
  <si>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</si>
  <si>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</si>
  <si>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</si>
  <si>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</si>
  <si>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</si>
  <si>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</si>
  <si>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</si>
  <si>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</si>
  <si>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</si>
  <si>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</si>
  <si>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</si>
  <si>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</si>
  <si>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</si>
  <si>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</si>
  <si>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</si>
  <si>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</si>
  <si>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</si>
  <si>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</si>
  <si>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</si>
  <si>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</si>
  <si>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</si>
  <si>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</si>
  <si>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</si>
  <si>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</si>
  <si>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</si>
  <si>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</si>
  <si>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</si>
  <si>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</si>
  <si>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</si>
  <si>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</si>
  <si>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</si>
  <si>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</si>
  <si>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</si>
  <si>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</si>
  <si>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</si>
  <si>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</si>
  <si>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</si>
  <si>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</si>
  <si>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</si>
  <si>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</si>
  <si>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</si>
  <si>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</si>
  <si>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</si>
  <si>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</si>
  <si>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</si>
  <si>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</si>
  <si>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</si>
  <si>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</si>
  <si>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</si>
  <si>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</si>
  <si>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</si>
  <si>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</si>
  <si>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</si>
  <si>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</si>
  <si>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</si>
  <si>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</si>
  <si>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</si>
  <si>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</si>
  <si>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</si>
  <si>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</si>
  <si>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</si>
  <si>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</si>
  <si>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</si>
  <si>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</si>
  <si>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</si>
  <si>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</si>
  <si>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</si>
  <si>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</si>
  <si>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</si>
  <si>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</si>
  <si>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</si>
  <si>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</si>
  <si>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</si>
  <si>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</si>
  <si>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</si>
  <si>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</si>
  <si>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</si>
  <si>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</si>
  <si>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</si>
  <si>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</si>
  <si>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</si>
  <si>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</si>
  <si>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</si>
  <si>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</si>
  <si>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</si>
  <si>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</si>
  <si>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</si>
  <si>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</si>
  <si>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</si>
  <si>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</si>
  <si>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</si>
  <si>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</si>
  <si>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</si>
  <si>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</si>
  <si>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</si>
  <si>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</si>
  <si>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</si>
  <si>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</si>
  <si>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</si>
  <si>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</si>
  <si>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</si>
  <si>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</si>
  <si>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</si>
  <si>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</si>
  <si>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</si>
  <si>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</si>
  <si>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</si>
  <si>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</si>
  <si>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</si>
  <si>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</si>
  <si>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</si>
  <si>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</si>
  <si>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</si>
  <si>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</si>
  <si>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</si>
  <si>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</si>
  <si>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</si>
  <si>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</si>
  <si>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</si>
  <si>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</si>
  <si>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</si>
  <si>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</si>
  <si>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</si>
  <si>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</si>
  <si>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</si>
  <si>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</si>
  <si>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</si>
  <si>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</si>
  <si>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</si>
  <si>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</si>
  <si>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</si>
  <si>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</si>
  <si>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</si>
  <si>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</si>
  <si>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</si>
  <si>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</si>
  <si>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</si>
  <si>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</si>
  <si>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</si>
  <si>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</si>
  <si>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</si>
  <si>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</si>
  <si>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</si>
  <si>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</si>
  <si>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</si>
  <si>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</si>
  <si>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</si>
  <si>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</si>
  <si>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</si>
  <si>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</si>
  <si>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</si>
  <si>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</si>
  <si>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</si>
  <si>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</si>
  <si>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</si>
  <si>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</si>
  <si>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</si>
  <si>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</si>
  <si>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</si>
  <si>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</si>
  <si>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</si>
  <si>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</si>
  <si>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</si>
  <si>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</si>
  <si>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</si>
  <si>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</si>
  <si>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</si>
  <si>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</si>
  <si>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</si>
  <si>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</si>
  <si>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</si>
  <si>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</si>
  <si>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</si>
  <si>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</si>
  <si>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</si>
  <si>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</si>
  <si>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</si>
  <si>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</si>
  <si>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</si>
  <si>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</si>
  <si>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</si>
  <si>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</si>
  <si>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</si>
  <si>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</si>
  <si>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</si>
  <si>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</si>
  <si>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</si>
  <si>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</si>
  <si>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</si>
  <si>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</si>
  <si>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</si>
  <si>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</si>
  <si>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</si>
  <si>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</si>
  <si>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</si>
  <si>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</si>
  <si>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</si>
  <si>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</si>
  <si>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</si>
  <si>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</si>
  <si>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</si>
  <si>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</si>
  <si>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</si>
  <si>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</si>
  <si>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</si>
  <si>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</si>
  <si>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</si>
  <si>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</si>
  <si>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</si>
  <si>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</si>
  <si>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</si>
  <si>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</si>
  <si>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</si>
  <si>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</si>
  <si>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</si>
  <si>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</si>
  <si>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</si>
  <si>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</si>
  <si>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</si>
  <si>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</si>
  <si>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</si>
  <si>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</si>
  <si>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</si>
  <si>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</si>
  <si>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</si>
  <si>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</si>
  <si>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</si>
  <si>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</si>
  <si>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</si>
  <si>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</si>
  <si>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</si>
  <si>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</si>
  <si>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</si>
  <si>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</si>
  <si>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</si>
  <si>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</si>
  <si>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</si>
  <si>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</si>
  <si>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</si>
  <si>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</si>
  <si>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</si>
  <si>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</si>
  <si>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</si>
  <si>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</si>
  <si>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</si>
  <si>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</si>
  <si>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</si>
  <si>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</si>
  <si>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</si>
  <si>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</si>
  <si>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</si>
  <si>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</si>
  <si>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</si>
  <si>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</si>
  <si>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</si>
  <si>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</si>
  <si>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</si>
  <si>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</si>
  <si>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</si>
  <si>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</si>
  <si>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</si>
  <si>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</si>
  <si>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</si>
  <si>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</si>
  <si>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</si>
  <si>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</si>
  <si>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</si>
  <si>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</si>
  <si>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</si>
  <si>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</si>
  <si>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</si>
  <si>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</si>
  <si>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</si>
  <si>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</si>
  <si>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</si>
  <si>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</si>
  <si>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</si>
  <si>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</si>
  <si>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</si>
  <si>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</si>
  <si>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</si>
  <si>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</si>
  <si>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</si>
  <si>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</si>
  <si>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</si>
  <si>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</si>
  <si>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</si>
  <si>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</si>
  <si>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</si>
  <si>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</si>
  <si>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</si>
  <si>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</si>
  <si>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</si>
  <si>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</si>
  <si>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</si>
  <si>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</si>
  <si>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</si>
  <si>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</si>
  <si>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</si>
  <si>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</si>
  <si>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</si>
  <si>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</si>
  <si>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</si>
  <si>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</si>
  <si>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</si>
  <si>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</si>
  <si>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</si>
  <si>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</si>
  <si>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</si>
  <si>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</si>
  <si>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</si>
  <si>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</si>
  <si>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</si>
  <si>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</si>
  <si>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</si>
  <si>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</si>
  <si>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</si>
  <si>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</si>
  <si>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</si>
  <si>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</si>
  <si>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</si>
  <si>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</si>
  <si>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</si>
  <si>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</si>
  <si>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</si>
  <si>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</si>
  <si>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</si>
  <si>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</si>
  <si>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</si>
  <si>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</si>
  <si>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</si>
  <si>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</si>
  <si>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</si>
  <si>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</si>
  <si>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</si>
  <si>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</si>
  <si>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</si>
  <si>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</si>
  <si>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</si>
  <si>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</si>
  <si>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</si>
  <si>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</si>
  <si>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</si>
  <si>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</si>
  <si>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</si>
  <si>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</si>
  <si>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</si>
  <si>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</si>
  <si>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</si>
  <si>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</si>
  <si>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</si>
  <si>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</si>
  <si>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</si>
  <si>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</si>
  <si>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</si>
  <si>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</si>
  <si>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</si>
  <si>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</si>
  <si>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</si>
  <si>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</si>
  <si>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</si>
  <si>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</si>
  <si>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</si>
  <si>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</si>
  <si>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</si>
  <si>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</si>
  <si>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</si>
  <si>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</si>
  <si>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</si>
  <si>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</si>
  <si>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</si>
  <si>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</si>
  <si>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</si>
  <si>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</si>
  <si>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</si>
  <si>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</si>
  <si>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</si>
  <si>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</si>
  <si>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</si>
  <si>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</si>
  <si>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</si>
  <si>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</si>
  <si>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</si>
  <si>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</si>
  <si>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</si>
  <si>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</si>
  <si>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</si>
  <si>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</si>
  <si>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</si>
  <si>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</si>
  <si>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</si>
  <si>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</si>
  <si>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</si>
  <si>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</si>
  <si>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</si>
  <si>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</si>
  <si>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</si>
  <si>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</si>
  <si>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</si>
  <si>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</si>
  <si>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</si>
  <si>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</si>
  <si>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</si>
  <si>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</si>
  <si>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</si>
  <si>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</si>
  <si>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</si>
  <si>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</si>
  <si>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</si>
  <si>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</si>
  <si>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</si>
  <si>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</si>
  <si>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</si>
  <si>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</si>
  <si>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moderný päťboj - bežné transfery</t>
  </si>
  <si>
    <t>Mzdy26001</t>
  </si>
  <si>
    <t>BV01/2026</t>
  </si>
  <si>
    <t>Hrubé mzdy vyplatené osobám (zamestnancom) vrátane odvodov zamestnávateľa
počet fyzických osôb : 1
obdobie : január</t>
  </si>
  <si>
    <t>osoba 1</t>
  </si>
  <si>
    <t>osoba 2</t>
  </si>
  <si>
    <t>Mzdy26002</t>
  </si>
  <si>
    <t>BV02/2026</t>
  </si>
  <si>
    <t>Hrubé mzdy vyplatené osobám (zamestnancom) vrátane odvodov zamestnávateľa
počet fyzických osôb : 1
obdobie : február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</si>
</sst>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83" val="6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1578</v>
      </c>
    </row>
    <row r="2" spans="1:4" s="18" customFormat="1" ht="61.2" customHeight="1" x14ac:dyDescent="0.25">
      <c r="A2" s="297" t="s">
        <v>1579</v>
      </c>
      <c r="C2" s="322"/>
      <c r="D2" s="322"/>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1438</v>
      </c>
      <c r="C7" s="197"/>
      <c r="D7" s="197"/>
    </row>
    <row r="8" spans="1:4" s="18" customFormat="1" ht="17.399999999999999" x14ac:dyDescent="0.25">
      <c r="A8" s="285" t="s">
        <v>3</v>
      </c>
      <c r="C8" s="197"/>
      <c r="D8" s="197"/>
    </row>
    <row r="9" spans="1:4" s="18" customFormat="1" ht="17.399999999999999" x14ac:dyDescent="0.25">
      <c r="A9" s="261" t="s">
        <v>1214</v>
      </c>
      <c r="C9" s="197"/>
      <c r="D9" s="197"/>
    </row>
    <row r="10" spans="1:4" s="18" customFormat="1" ht="17.399999999999999" x14ac:dyDescent="0.25">
      <c r="A10" s="261" t="s">
        <v>1215</v>
      </c>
      <c r="C10" s="197"/>
      <c r="D10" s="197"/>
    </row>
    <row r="11" spans="1:4" s="18" customFormat="1" ht="17.399999999999999" x14ac:dyDescent="0.25">
      <c r="A11" s="285" t="s">
        <v>1216</v>
      </c>
      <c r="C11" s="197"/>
      <c r="D11" s="197"/>
    </row>
    <row r="12" spans="1:4" s="18" customFormat="1" ht="39.6" x14ac:dyDescent="0.25">
      <c r="A12" s="285" t="s">
        <v>1217</v>
      </c>
      <c r="C12" s="197"/>
      <c r="D12" s="197"/>
    </row>
    <row r="13" spans="1:4" s="18" customFormat="1" ht="24.6" customHeight="1" x14ac:dyDescent="0.25">
      <c r="A13" s="293" t="s">
        <v>1234</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23"/>
      <c r="D22" s="323"/>
    </row>
    <row r="23" spans="1:4" x14ac:dyDescent="0.25">
      <c r="C23" s="324"/>
      <c r="D23" s="323"/>
    </row>
    <row r="24" spans="1:4" ht="67.95" customHeight="1" x14ac:dyDescent="0.25">
      <c r="A24" s="23" t="s">
        <v>1235</v>
      </c>
      <c r="C24" s="247"/>
      <c r="D24" s="248"/>
    </row>
    <row r="25" spans="1:4" x14ac:dyDescent="0.25">
      <c r="C25" s="320"/>
      <c r="D25" s="321"/>
    </row>
    <row r="26" spans="1:4" ht="28.5" customHeight="1" x14ac:dyDescent="0.25">
      <c r="A26" s="23" t="s">
        <v>8</v>
      </c>
    </row>
    <row r="28" spans="1:4" ht="26.4" x14ac:dyDescent="0.25">
      <c r="A28" s="19" t="s">
        <v>1567</v>
      </c>
      <c r="B28" s="253"/>
    </row>
    <row r="29" spans="1:4" x14ac:dyDescent="0.25">
      <c r="A29" s="20"/>
    </row>
    <row r="30" spans="1:4" ht="41.55" customHeight="1" x14ac:dyDescent="0.25">
      <c r="A30" s="23" t="s">
        <v>9</v>
      </c>
    </row>
    <row r="32" spans="1:4" ht="26.4" x14ac:dyDescent="0.25">
      <c r="A32" s="19" t="s">
        <v>1218</v>
      </c>
    </row>
    <row r="34" spans="1:3" x14ac:dyDescent="0.25">
      <c r="A34" s="19" t="s">
        <v>1219</v>
      </c>
    </row>
    <row r="36" spans="1:3" ht="52.8" x14ac:dyDescent="0.25">
      <c r="A36" s="19" t="s">
        <v>1221</v>
      </c>
    </row>
    <row r="38" spans="1:3" ht="26.4" x14ac:dyDescent="0.25">
      <c r="A38" s="263" t="s">
        <v>1220</v>
      </c>
    </row>
    <row r="40" spans="1:3" ht="79.2" x14ac:dyDescent="0.25">
      <c r="A40" s="23" t="s">
        <v>1222</v>
      </c>
    </row>
    <row r="42" spans="1:3" ht="26.4" x14ac:dyDescent="0.25">
      <c r="A42" s="19" t="s">
        <v>10</v>
      </c>
    </row>
    <row r="44" spans="1:3" ht="79.2" x14ac:dyDescent="0.25">
      <c r="A44" s="291" t="s">
        <v>1569</v>
      </c>
      <c r="C44" s="22"/>
    </row>
    <row r="45" spans="1:3" ht="66" x14ac:dyDescent="0.25">
      <c r="A45" s="289" t="s">
        <v>1570</v>
      </c>
      <c r="C45" s="22"/>
    </row>
    <row r="46" spans="1:3" x14ac:dyDescent="0.25">
      <c r="A46" s="283"/>
      <c r="C46" s="22"/>
    </row>
    <row r="47" spans="1:3" ht="52.8" x14ac:dyDescent="0.25">
      <c r="A47" s="290" t="s">
        <v>11</v>
      </c>
      <c r="C47" s="22"/>
    </row>
    <row r="49" spans="1:1" x14ac:dyDescent="0.25">
      <c r="A49" s="291" t="s">
        <v>1223</v>
      </c>
    </row>
    <row r="51" spans="1:1" ht="39.6" x14ac:dyDescent="0.25">
      <c r="A51" s="19" t="s">
        <v>1224</v>
      </c>
    </row>
    <row r="53" spans="1:1" ht="79.2" x14ac:dyDescent="0.25">
      <c r="A53" s="19" t="s">
        <v>1225</v>
      </c>
    </row>
    <row r="55" spans="1:1" ht="48.45" customHeight="1" x14ac:dyDescent="0.25">
      <c r="A55" s="19" t="s">
        <v>1226</v>
      </c>
    </row>
    <row r="57" spans="1:1" ht="19.05" customHeight="1" x14ac:dyDescent="0.25">
      <c r="A57" s="19" t="s">
        <v>12</v>
      </c>
    </row>
    <row r="59" spans="1:1" ht="18.45" customHeight="1" x14ac:dyDescent="0.25">
      <c r="A59" s="19" t="s">
        <v>13</v>
      </c>
    </row>
    <row r="61" spans="1:1" ht="145.19999999999999" x14ac:dyDescent="0.25">
      <c r="A61" s="23" t="s">
        <v>1227</v>
      </c>
    </row>
    <row r="62" spans="1:1" x14ac:dyDescent="0.25">
      <c r="A62" s="23"/>
    </row>
    <row r="63" spans="1:1" x14ac:dyDescent="0.25">
      <c r="A63" s="19" t="s">
        <v>14</v>
      </c>
    </row>
    <row r="64" spans="1:1" ht="26.4" x14ac:dyDescent="0.25">
      <c r="A64" s="19" t="s">
        <v>15</v>
      </c>
    </row>
    <row r="65" spans="1:1" ht="29.55" customHeight="1" x14ac:dyDescent="0.25">
      <c r="A65" s="19" t="s">
        <v>1228</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1243</v>
      </c>
    </row>
    <row r="74" spans="1:1" ht="39.6" x14ac:dyDescent="0.25">
      <c r="A74" s="23" t="s">
        <v>1244</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1236</v>
      </c>
    </row>
    <row r="97" spans="1:4" x14ac:dyDescent="0.25">
      <c r="A97" s="23"/>
    </row>
    <row r="98" spans="1:4" x14ac:dyDescent="0.25">
      <c r="A98" s="252" t="s">
        <v>35</v>
      </c>
    </row>
    <row r="99" spans="1:4" ht="79.2" x14ac:dyDescent="0.25">
      <c r="A99" s="23" t="s">
        <v>1237</v>
      </c>
    </row>
    <row r="100" spans="1:4" x14ac:dyDescent="0.25">
      <c r="A100" s="23"/>
    </row>
    <row r="101" spans="1:4" x14ac:dyDescent="0.25">
      <c r="A101" s="252" t="s">
        <v>36</v>
      </c>
    </row>
    <row r="102" spans="1:4" ht="82.05" customHeight="1" x14ac:dyDescent="0.25">
      <c r="A102" s="23" t="s">
        <v>1238</v>
      </c>
    </row>
    <row r="103" spans="1:4" x14ac:dyDescent="0.25">
      <c r="A103" s="23"/>
    </row>
    <row r="104" spans="1:4" x14ac:dyDescent="0.25">
      <c r="A104" s="286" t="s">
        <v>37</v>
      </c>
    </row>
    <row r="105" spans="1:4" ht="55.05" customHeight="1" x14ac:dyDescent="0.25">
      <c r="A105" s="23" t="s">
        <v>1239</v>
      </c>
    </row>
    <row r="106" spans="1:4" x14ac:dyDescent="0.25">
      <c r="A106" s="23"/>
      <c r="B106" s="20" t="s">
        <v>38</v>
      </c>
    </row>
    <row r="107" spans="1:4" x14ac:dyDescent="0.25">
      <c r="A107" s="252" t="s">
        <v>39</v>
      </c>
    </row>
    <row r="108" spans="1:4" ht="67.5" customHeight="1" x14ac:dyDescent="0.25">
      <c r="A108" s="19" t="s">
        <v>1572</v>
      </c>
    </row>
    <row r="109" spans="1:4" ht="39.6" x14ac:dyDescent="0.25">
      <c r="A109" s="19" t="s">
        <v>1231</v>
      </c>
    </row>
    <row r="110" spans="1:4" ht="29.55" customHeight="1" x14ac:dyDescent="0.25">
      <c r="A110" s="19" t="s">
        <v>40</v>
      </c>
    </row>
    <row r="111" spans="1:4" x14ac:dyDescent="0.25">
      <c r="D111" s="20" t="s">
        <v>38</v>
      </c>
    </row>
    <row r="112" spans="1:4" ht="92.4" x14ac:dyDescent="0.25">
      <c r="A112" s="23" t="s">
        <v>1230</v>
      </c>
    </row>
    <row r="113" spans="1:2" ht="26.4" x14ac:dyDescent="0.25">
      <c r="A113" s="19" t="s">
        <v>1229</v>
      </c>
    </row>
    <row r="115" spans="1:2" ht="182.55" customHeight="1" x14ac:dyDescent="0.25">
      <c r="A115" s="23" t="s">
        <v>1574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1573</v>
      </c>
    </row>
    <row r="127" spans="1:2" ht="39.6" x14ac:dyDescent="0.25">
      <c r="A127" s="23" t="s">
        <v>48</v>
      </c>
    </row>
    <row r="128" spans="1:2" ht="26.4" x14ac:dyDescent="0.25">
      <c r="A128" s="23" t="s">
        <v>1240</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1232</v>
      </c>
    </row>
    <row r="134" spans="1:1" ht="52.8" x14ac:dyDescent="0.25">
      <c r="A134" s="292" t="s">
        <v>1241</v>
      </c>
    </row>
    <row r="135" spans="1:1" x14ac:dyDescent="0.25">
      <c r="A135" s="252" t="s">
        <v>1242</v>
      </c>
    </row>
    <row r="136" spans="1:1" ht="109.5" customHeight="1" x14ac:dyDescent="0.25">
      <c r="A136" s="292" t="s">
        <v>1233</v>
      </c>
    </row>
    <row r="137" spans="1:1" x14ac:dyDescent="0.25">
      <c r="A137"/>
    </row>
    <row r="138" spans="1:1" ht="61.2" customHeight="1" x14ac:dyDescent="0.25">
      <c r="A138" s="317" t="s">
        <v>1577</v>
      </c>
    </row>
    <row r="140" spans="1:1" ht="66"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4" t="str">
        <f>Spolu!C3&amp;", "&amp;Spolu!C6</f>
        <v>Slovenský zväz moderného päťboja,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5">
      <c r="A14" s="139" t="s">
        <v>1152</v>
      </c>
      <c r="B14" s="379" t="s">
        <v>1169</v>
      </c>
      <c r="C14" s="380"/>
      <c r="F14" s="302"/>
      <c r="N14" s="137" t="str">
        <f t="shared" si="0"/>
        <v xml:space="preserve">n - </v>
      </c>
      <c r="O14" s="137" t="s">
        <v>265</v>
      </c>
    </row>
    <row r="15" spans="1:16" ht="34.35"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 customHeight="1" x14ac:dyDescent="0.25">
      <c r="A17" s="139" t="s">
        <v>1158</v>
      </c>
      <c r="B17" s="142">
        <f>F9</f>
        <v>0</v>
      </c>
      <c r="C17" s="137"/>
      <c r="F17" s="382"/>
      <c r="N17" s="137" t="str">
        <f t="shared" si="0"/>
        <v xml:space="preserve">q - </v>
      </c>
      <c r="O17" s="137" t="s">
        <v>268</v>
      </c>
    </row>
    <row r="18" spans="1:16" ht="15.6" thickBot="1" x14ac:dyDescent="0.3">
      <c r="B18" s="185" t="s">
        <v>1171</v>
      </c>
      <c r="C18" s="186">
        <v>31</v>
      </c>
      <c r="N18" s="137" t="str">
        <f t="shared" si="0"/>
        <v xml:space="preserve">r - </v>
      </c>
      <c r="O18" s="137" t="s">
        <v>269</v>
      </c>
    </row>
    <row r="19" spans="1:16" x14ac:dyDescent="0.25">
      <c r="B19" s="185" t="s">
        <v>1160</v>
      </c>
      <c r="C19" s="142" t="str">
        <f>Spolu!C4</f>
        <v>30788714</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1174</v>
      </c>
    </row>
    <row r="2" spans="1:2" ht="30" customHeight="1" x14ac:dyDescent="0.25">
      <c r="A2" s="383" t="s">
        <v>1175</v>
      </c>
      <c r="B2" s="383"/>
    </row>
    <row r="3" spans="1:2"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5" t="s">
        <v>51</v>
      </c>
      <c r="B1" s="325"/>
      <c r="C1" s="325"/>
      <c r="D1" s="325"/>
      <c r="E1" s="325"/>
      <c r="F1" s="325"/>
      <c r="G1" s="325"/>
      <c r="H1" s="325"/>
      <c r="I1" s="52"/>
      <c r="J1" s="37"/>
    </row>
    <row r="2" spans="1:11" ht="13.8"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3.8" x14ac:dyDescent="0.25">
      <c r="A3" s="40"/>
      <c r="B3" s="40"/>
      <c r="C3" s="40"/>
      <c r="D3" s="40"/>
      <c r="E3" s="40"/>
      <c r="F3" s="40"/>
      <c r="G3" s="40"/>
      <c r="H3" s="330">
        <f>+Doklady!I101</f>
        <v>46053</v>
      </c>
      <c r="I3" s="330"/>
    </row>
    <row r="4" spans="1:11" ht="15.75" customHeight="1" x14ac:dyDescent="0.25">
      <c r="A4" s="41" t="s">
        <v>52</v>
      </c>
      <c r="B4" s="326" t="s">
        <v>53</v>
      </c>
      <c r="C4" s="327"/>
      <c r="D4" s="327"/>
      <c r="E4" s="32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1495</v>
      </c>
      <c r="C8" s="47" t="s">
        <v>64</v>
      </c>
      <c r="D8" s="48">
        <v>46146</v>
      </c>
      <c r="E8" s="46" t="s">
        <v>65</v>
      </c>
      <c r="F8" s="46"/>
      <c r="G8" s="46" t="s">
        <v>66</v>
      </c>
      <c r="H8" s="49">
        <v>1350</v>
      </c>
      <c r="I8" s="55">
        <v>3</v>
      </c>
      <c r="J8" s="44"/>
    </row>
    <row r="9" spans="1:11" ht="13.2" x14ac:dyDescent="0.25">
      <c r="A9" s="46" t="s">
        <v>63</v>
      </c>
      <c r="B9" s="47" t="s">
        <v>1496</v>
      </c>
      <c r="C9" s="47" t="s">
        <v>67</v>
      </c>
      <c r="D9" s="48">
        <v>46147</v>
      </c>
      <c r="E9" s="46" t="s">
        <v>68</v>
      </c>
      <c r="F9" s="46"/>
      <c r="G9" s="46" t="s">
        <v>69</v>
      </c>
      <c r="H9" s="49">
        <v>100</v>
      </c>
      <c r="I9" s="55">
        <v>3</v>
      </c>
      <c r="J9" s="44"/>
    </row>
    <row r="10" spans="1:11" ht="13.2" x14ac:dyDescent="0.25">
      <c r="A10" s="46" t="s">
        <v>63</v>
      </c>
      <c r="B10" s="47" t="s">
        <v>1497</v>
      </c>
      <c r="C10" s="47" t="s">
        <v>70</v>
      </c>
      <c r="D10" s="48">
        <v>46148</v>
      </c>
      <c r="E10" s="46" t="s">
        <v>71</v>
      </c>
      <c r="F10" s="46"/>
      <c r="G10" s="46" t="s">
        <v>72</v>
      </c>
      <c r="H10" s="49">
        <v>50</v>
      </c>
      <c r="I10" s="55">
        <v>3</v>
      </c>
      <c r="J10" s="44"/>
    </row>
    <row r="11" spans="1:11" ht="13.2" x14ac:dyDescent="0.25">
      <c r="A11" s="46" t="s">
        <v>63</v>
      </c>
      <c r="B11" s="47" t="s">
        <v>1498</v>
      </c>
      <c r="C11" s="47" t="s">
        <v>73</v>
      </c>
      <c r="D11" s="48">
        <v>46149</v>
      </c>
      <c r="E11" s="46" t="s">
        <v>74</v>
      </c>
      <c r="F11" s="46"/>
      <c r="G11" s="46" t="s">
        <v>75</v>
      </c>
      <c r="H11" s="49">
        <v>200</v>
      </c>
      <c r="I11" s="55">
        <v>3</v>
      </c>
      <c r="J11" s="44"/>
    </row>
    <row r="12" spans="1:11" ht="13.2" x14ac:dyDescent="0.25">
      <c r="A12" s="46" t="s">
        <v>63</v>
      </c>
      <c r="B12" s="47" t="s">
        <v>1499</v>
      </c>
      <c r="C12" s="47" t="s">
        <v>76</v>
      </c>
      <c r="D12" s="48">
        <v>46150</v>
      </c>
      <c r="E12" s="46" t="s">
        <v>77</v>
      </c>
      <c r="F12" s="46"/>
      <c r="G12" s="46" t="s">
        <v>78</v>
      </c>
      <c r="H12" s="49">
        <v>180</v>
      </c>
      <c r="I12" s="55">
        <v>3</v>
      </c>
      <c r="J12" s="44"/>
    </row>
    <row r="13" spans="1:11" ht="13.2" x14ac:dyDescent="0.25">
      <c r="A13" s="46" t="s">
        <v>63</v>
      </c>
      <c r="B13" s="47" t="s">
        <v>1500</v>
      </c>
      <c r="C13" s="47" t="s">
        <v>79</v>
      </c>
      <c r="D13" s="48">
        <v>46151</v>
      </c>
      <c r="E13" s="46" t="s">
        <v>80</v>
      </c>
      <c r="F13" s="46"/>
      <c r="G13" s="46" t="s">
        <v>81</v>
      </c>
      <c r="H13" s="49">
        <v>505</v>
      </c>
      <c r="I13" s="55">
        <v>3</v>
      </c>
      <c r="J13" s="44"/>
    </row>
    <row r="14" spans="1:11" ht="13.2" x14ac:dyDescent="0.25">
      <c r="A14" s="46" t="s">
        <v>63</v>
      </c>
      <c r="B14" s="47" t="s">
        <v>1501</v>
      </c>
      <c r="C14" s="47" t="s">
        <v>82</v>
      </c>
      <c r="D14" s="48">
        <v>46152</v>
      </c>
      <c r="E14" s="46" t="s">
        <v>83</v>
      </c>
      <c r="F14" s="46"/>
      <c r="G14" s="46" t="s">
        <v>84</v>
      </c>
      <c r="H14" s="49">
        <v>4700</v>
      </c>
      <c r="I14" s="55">
        <v>2</v>
      </c>
      <c r="J14" s="44"/>
    </row>
    <row r="15" spans="1:11" ht="20.399999999999999" x14ac:dyDescent="0.25">
      <c r="A15" s="46" t="s">
        <v>63</v>
      </c>
      <c r="B15" s="47" t="s">
        <v>1502</v>
      </c>
      <c r="C15" s="47" t="s">
        <v>1536</v>
      </c>
      <c r="D15" s="48">
        <v>46153</v>
      </c>
      <c r="E15" s="46" t="s">
        <v>85</v>
      </c>
      <c r="F15" s="46"/>
      <c r="G15" s="46" t="s">
        <v>86</v>
      </c>
      <c r="H15" s="49">
        <v>3330</v>
      </c>
      <c r="I15" s="55">
        <v>2</v>
      </c>
      <c r="J15" s="44"/>
    </row>
    <row r="16" spans="1:11" ht="13.2" x14ac:dyDescent="0.25">
      <c r="A16" s="46" t="s">
        <v>63</v>
      </c>
      <c r="B16" s="47" t="s">
        <v>1503</v>
      </c>
      <c r="C16" s="47" t="s">
        <v>87</v>
      </c>
      <c r="D16" s="48">
        <v>46154</v>
      </c>
      <c r="E16" s="46" t="s">
        <v>88</v>
      </c>
      <c r="F16" s="46"/>
      <c r="G16" s="46" t="s">
        <v>89</v>
      </c>
      <c r="H16" s="49">
        <v>1000</v>
      </c>
      <c r="I16" s="55">
        <v>2</v>
      </c>
      <c r="J16" s="44"/>
    </row>
    <row r="17" spans="1:18" ht="13.2" x14ac:dyDescent="0.25">
      <c r="A17" s="46" t="s">
        <v>63</v>
      </c>
      <c r="B17" s="47" t="s">
        <v>1504</v>
      </c>
      <c r="C17" s="47" t="s">
        <v>90</v>
      </c>
      <c r="D17" s="48">
        <v>46155</v>
      </c>
      <c r="E17" s="46" t="s">
        <v>91</v>
      </c>
      <c r="F17" s="46"/>
      <c r="G17" s="46" t="s">
        <v>92</v>
      </c>
      <c r="H17" s="49">
        <v>300</v>
      </c>
      <c r="I17" s="55">
        <v>2</v>
      </c>
      <c r="J17" s="44"/>
    </row>
    <row r="18" spans="1:18" ht="13.2" x14ac:dyDescent="0.25">
      <c r="A18" s="46" t="s">
        <v>63</v>
      </c>
      <c r="B18" s="47" t="s">
        <v>1505</v>
      </c>
      <c r="C18" s="47" t="s">
        <v>93</v>
      </c>
      <c r="D18" s="48">
        <v>46156</v>
      </c>
      <c r="E18" s="46" t="s">
        <v>94</v>
      </c>
      <c r="F18" s="46"/>
      <c r="G18" s="46" t="s">
        <v>95</v>
      </c>
      <c r="H18" s="49">
        <v>600</v>
      </c>
      <c r="I18" s="55">
        <v>2</v>
      </c>
      <c r="J18" s="44"/>
    </row>
    <row r="19" spans="1:18" ht="20.399999999999999" x14ac:dyDescent="0.25">
      <c r="A19" s="46" t="s">
        <v>63</v>
      </c>
      <c r="B19" s="47" t="s">
        <v>1506</v>
      </c>
      <c r="C19" s="47" t="s">
        <v>96</v>
      </c>
      <c r="D19" s="48">
        <v>46157</v>
      </c>
      <c r="E19" s="46" t="s">
        <v>1542</v>
      </c>
      <c r="F19" s="46"/>
      <c r="G19" s="46" t="s">
        <v>97</v>
      </c>
      <c r="H19" s="49">
        <v>25.9</v>
      </c>
      <c r="I19" s="55">
        <v>2</v>
      </c>
      <c r="J19" s="44"/>
    </row>
    <row r="20" spans="1:18" ht="13.2" x14ac:dyDescent="0.25">
      <c r="A20" s="46" t="s">
        <v>63</v>
      </c>
      <c r="B20" s="47" t="s">
        <v>1507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2"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3.2" x14ac:dyDescent="0.25">
      <c r="A26" s="46" t="s">
        <v>63</v>
      </c>
      <c r="B26" s="50">
        <v>46357</v>
      </c>
      <c r="C26" s="47" t="s">
        <v>106</v>
      </c>
      <c r="D26" s="48">
        <v>46165</v>
      </c>
      <c r="E26" s="46" t="s">
        <v>1546</v>
      </c>
      <c r="F26" s="46"/>
      <c r="G26" s="46" t="s">
        <v>112</v>
      </c>
      <c r="H26" s="49">
        <v>50</v>
      </c>
      <c r="I26" s="55">
        <v>4</v>
      </c>
      <c r="J26" s="44"/>
      <c r="O26" s="44"/>
      <c r="P26" s="44"/>
      <c r="Q26" s="44"/>
      <c r="R26" s="44"/>
    </row>
    <row r="27" spans="1:18" ht="13.2" x14ac:dyDescent="0.25">
      <c r="A27" s="46" t="s">
        <v>63</v>
      </c>
      <c r="B27" s="47" t="s">
        <v>1511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1547</v>
      </c>
      <c r="F28" s="46"/>
      <c r="G28" s="46" t="s">
        <v>117</v>
      </c>
      <c r="H28" s="49">
        <v>10</v>
      </c>
      <c r="I28" s="55">
        <v>4</v>
      </c>
      <c r="J28" s="44"/>
      <c r="O28" s="44"/>
      <c r="P28" s="44"/>
      <c r="Q28" s="44"/>
      <c r="R28" s="44"/>
    </row>
    <row r="29" spans="1:18" ht="13.2" x14ac:dyDescent="0.25">
      <c r="A29" s="46" t="s">
        <v>63</v>
      </c>
      <c r="B29" s="47" t="s">
        <v>118</v>
      </c>
      <c r="C29" s="47" t="s">
        <v>119</v>
      </c>
      <c r="D29" s="48">
        <v>46168</v>
      </c>
      <c r="E29" s="46" t="s">
        <v>1548</v>
      </c>
      <c r="F29" s="46"/>
      <c r="G29" s="46" t="s">
        <v>120</v>
      </c>
      <c r="H29" s="49">
        <v>500</v>
      </c>
      <c r="I29" s="55">
        <v>1</v>
      </c>
      <c r="J29" s="44"/>
      <c r="O29" s="44"/>
      <c r="P29" s="44"/>
      <c r="Q29" s="44"/>
      <c r="R29" s="44"/>
    </row>
    <row r="30" spans="1:18" ht="13.2" x14ac:dyDescent="0.25">
      <c r="A30" s="46" t="s">
        <v>63</v>
      </c>
      <c r="B30" s="47" t="s">
        <v>1512</v>
      </c>
      <c r="C30" s="47" t="s">
        <v>121</v>
      </c>
      <c r="D30" s="48">
        <v>46169</v>
      </c>
      <c r="E30" s="46" t="s">
        <v>122</v>
      </c>
      <c r="F30" s="46"/>
      <c r="G30" s="46" t="s">
        <v>123</v>
      </c>
      <c r="H30" s="49">
        <v>71.2</v>
      </c>
      <c r="I30" s="55">
        <v>3</v>
      </c>
      <c r="J30" s="44"/>
      <c r="O30" s="44"/>
      <c r="P30" s="44"/>
      <c r="Q30" s="44"/>
      <c r="R30" s="44"/>
    </row>
    <row r="31" spans="1:18" ht="51" x14ac:dyDescent="0.25">
      <c r="A31" s="46" t="s">
        <v>63</v>
      </c>
      <c r="B31" s="47" t="s">
        <v>1513</v>
      </c>
      <c r="C31" s="47" t="s">
        <v>1537</v>
      </c>
      <c r="D31" s="48">
        <v>46170</v>
      </c>
      <c r="E31" s="46" t="s">
        <v>1549</v>
      </c>
      <c r="F31" s="46"/>
      <c r="G31" s="46" t="s">
        <v>124</v>
      </c>
      <c r="H31" s="49">
        <v>250</v>
      </c>
      <c r="I31" s="55">
        <v>1</v>
      </c>
      <c r="J31" s="44"/>
    </row>
    <row r="32" spans="1:18" ht="13.2" x14ac:dyDescent="0.25">
      <c r="A32" s="46" t="s">
        <v>63</v>
      </c>
      <c r="B32" s="47" t="s">
        <v>1514</v>
      </c>
      <c r="C32" s="47" t="s">
        <v>125</v>
      </c>
      <c r="D32" s="48">
        <v>46171</v>
      </c>
      <c r="E32" s="46" t="s">
        <v>126</v>
      </c>
      <c r="F32" s="46"/>
      <c r="G32" s="46" t="s">
        <v>127</v>
      </c>
      <c r="H32" s="49">
        <v>320</v>
      </c>
      <c r="I32" s="55">
        <v>5</v>
      </c>
      <c r="J32" s="44"/>
    </row>
    <row r="33" spans="1:18" ht="13.2" x14ac:dyDescent="0.25">
      <c r="A33" s="46" t="s">
        <v>63</v>
      </c>
      <c r="B33" s="47" t="s">
        <v>1515</v>
      </c>
      <c r="C33" s="47" t="s">
        <v>128</v>
      </c>
      <c r="D33" s="48">
        <v>46172</v>
      </c>
      <c r="E33" s="46" t="s">
        <v>1550</v>
      </c>
      <c r="F33" s="46"/>
      <c r="G33" s="46" t="s">
        <v>129</v>
      </c>
      <c r="H33" s="49">
        <v>40</v>
      </c>
      <c r="I33" s="55">
        <v>4</v>
      </c>
      <c r="J33" s="44"/>
    </row>
    <row r="34" spans="1:18" ht="13.2" x14ac:dyDescent="0.25">
      <c r="A34" s="46" t="s">
        <v>63</v>
      </c>
      <c r="B34" s="50">
        <v>46023</v>
      </c>
      <c r="C34" s="47" t="s">
        <v>1538</v>
      </c>
      <c r="D34" s="48">
        <v>46173</v>
      </c>
      <c r="E34" s="46" t="s">
        <v>130</v>
      </c>
      <c r="F34" s="46"/>
      <c r="G34" s="46" t="s">
        <v>131</v>
      </c>
      <c r="H34" s="49">
        <v>25</v>
      </c>
      <c r="I34" s="55">
        <v>4</v>
      </c>
      <c r="J34" s="44"/>
    </row>
    <row r="35" spans="1:18" ht="13.2" x14ac:dyDescent="0.25">
      <c r="A35" s="46" t="s">
        <v>63</v>
      </c>
      <c r="B35" s="50">
        <v>46082</v>
      </c>
      <c r="C35" s="47" t="s">
        <v>132</v>
      </c>
      <c r="D35" s="48">
        <v>46174</v>
      </c>
      <c r="E35" s="46" t="s">
        <v>1551</v>
      </c>
      <c r="F35" s="46"/>
      <c r="G35" s="46" t="s">
        <v>133</v>
      </c>
      <c r="H35" s="49">
        <v>150</v>
      </c>
      <c r="I35" s="55">
        <v>4</v>
      </c>
      <c r="J35" s="44"/>
    </row>
    <row r="36" spans="1:18" ht="13.2"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799999999999997"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399999999999999"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399999999999999"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399999999999999"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34" t="s">
        <v>1568</v>
      </c>
      <c r="B1" s="335"/>
      <c r="C1" s="166">
        <v>46081</v>
      </c>
      <c r="D1" s="26"/>
      <c r="G1" s="244">
        <v>46053</v>
      </c>
    </row>
    <row r="2" spans="1:7" ht="13.8" x14ac:dyDescent="0.25">
      <c r="A2" s="28"/>
      <c r="B2" s="28"/>
      <c r="G2" s="244">
        <v>46081</v>
      </c>
    </row>
    <row r="3" spans="1:7" ht="13.8" x14ac:dyDescent="0.25">
      <c r="A3" s="30" t="s">
        <v>214</v>
      </c>
      <c r="B3" s="332" t="str">
        <f>INDEX(Adr!B:B,Doklady!B102+1)</f>
        <v>Slovenský zväz moderného päťboja</v>
      </c>
      <c r="C3" s="332"/>
      <c r="D3" s="332"/>
      <c r="G3" s="244">
        <v>46112</v>
      </c>
    </row>
    <row r="4" spans="1:7" ht="13.8" x14ac:dyDescent="0.25">
      <c r="A4" s="30" t="s">
        <v>215</v>
      </c>
      <c r="B4" s="29" t="str">
        <f>RIGHT("0000"&amp;INDEX(Adr!A:A,Doklady!B102+1),8)</f>
        <v>30788714</v>
      </c>
      <c r="G4" s="244">
        <v>46142</v>
      </c>
    </row>
    <row r="5" spans="1:7" ht="13.8" x14ac:dyDescent="0.25">
      <c r="A5" s="30" t="s">
        <v>216</v>
      </c>
      <c r="B5" s="29" t="str">
        <f>INDEX(Adr!D:D,Doklady!B102+1)&amp;", "&amp;INDEX(Adr!E:E,Doklady!B102+1)</f>
        <v>Olympijské námestie 14290/1,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104147</v>
      </c>
      <c r="G11" s="244">
        <v>46356</v>
      </c>
    </row>
    <row r="12" spans="1:7" ht="13.8" x14ac:dyDescent="0.25">
      <c r="A12" s="133" t="s">
        <v>223</v>
      </c>
      <c r="B12" s="134" t="s">
        <v>224</v>
      </c>
      <c r="C12" s="167">
        <f>+Spolu!C12</f>
        <v>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104147</v>
      </c>
      <c r="G15" s="244"/>
    </row>
    <row r="16" spans="1:7" ht="13.8" x14ac:dyDescent="0.25">
      <c r="G16" s="244"/>
    </row>
    <row r="17" spans="1:5" ht="72" customHeight="1" x14ac:dyDescent="0.25">
      <c r="A17" s="333" t="s">
        <v>230</v>
      </c>
      <c r="B17" s="333"/>
      <c r="C17" s="333"/>
      <c r="D17" s="33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5">
      <c r="B3" s="152" t="s">
        <v>52</v>
      </c>
      <c r="C3" s="356" t="str">
        <f>INDEX(Adr!B2:B242,Doklady!B102)</f>
        <v>Slovenský zväz moderného päťboja</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30788714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7" t="s">
        <v>235</v>
      </c>
      <c r="F9" s="358"/>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7.399999999999999" x14ac:dyDescent="0.3">
      <c r="A11" s="69" t="s">
        <v>221</v>
      </c>
      <c r="B11" s="70" t="s">
        <v>222</v>
      </c>
      <c r="C11" s="126">
        <f>SUMIF(FP!J:J,Doklady!$B$1&amp;A11,FP!D:D)</f>
        <v>104147</v>
      </c>
      <c r="D11" s="126">
        <f>+C11-E11</f>
        <v>5157.1600000000035</v>
      </c>
      <c r="E11" s="359">
        <f>+I39-I42+I44-I47</f>
        <v>98989.84</v>
      </c>
      <c r="F11" s="360"/>
      <c r="J11" s="168"/>
      <c r="L11" s="153" t="str">
        <f>L41</f>
        <v>a - moderný päťboj - bežné transfery</v>
      </c>
      <c r="M11" s="118"/>
      <c r="N11" s="118"/>
      <c r="O11" s="118"/>
      <c r="P11" s="118"/>
      <c r="Q11" s="118"/>
      <c r="R11" s="118"/>
      <c r="S11" s="118"/>
    </row>
    <row r="12" spans="1:26" ht="17.399999999999999" x14ac:dyDescent="0.3">
      <c r="A12" s="69" t="s">
        <v>223</v>
      </c>
      <c r="B12" s="70" t="s">
        <v>224</v>
      </c>
      <c r="C12" s="126">
        <f>SUMIF(FP!J:J,Doklady!$B$1&amp;A12,FP!D:D)</f>
        <v>0</v>
      </c>
      <c r="D12" s="126">
        <f>C12-E12</f>
        <v>0</v>
      </c>
      <c r="E12" s="351">
        <f>SUMIF(K:K,A12,I:I)</f>
        <v>0</v>
      </c>
      <c r="F12" s="352"/>
      <c r="J12" s="169"/>
      <c r="L12" s="153" t="str">
        <f>L42</f>
        <v>a - moderný päťboj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46" t="s">
        <v>241</v>
      </c>
      <c r="C17" s="346"/>
      <c r="D17" s="346"/>
      <c r="E17" s="346"/>
      <c r="F17" s="346"/>
      <c r="G17" s="346"/>
      <c r="H17" s="346"/>
      <c r="I17" s="73">
        <f>SUMIF(FP!I:I,Doklady!$B$1&amp;A17,FP!D:D)</f>
        <v>104147</v>
      </c>
      <c r="T17" s="86"/>
    </row>
    <row r="18" spans="1:20" x14ac:dyDescent="0.2">
      <c r="A18" s="135" t="s">
        <v>242</v>
      </c>
      <c r="B18" s="346" t="s">
        <v>243</v>
      </c>
      <c r="C18" s="346"/>
      <c r="D18" s="346"/>
      <c r="E18" s="346"/>
      <c r="F18" s="346"/>
      <c r="G18" s="346"/>
      <c r="H18" s="346"/>
      <c r="I18" s="73">
        <f>SUMIF(FP!I:I,Doklady!$B$1&amp;A18,FP!D:D)</f>
        <v>0</v>
      </c>
    </row>
    <row r="19" spans="1:20" x14ac:dyDescent="0.2">
      <c r="A19" s="115" t="s">
        <v>244</v>
      </c>
      <c r="B19" s="346" t="s">
        <v>245</v>
      </c>
      <c r="C19" s="346"/>
      <c r="D19" s="346"/>
      <c r="E19" s="346"/>
      <c r="F19" s="346"/>
      <c r="G19" s="346"/>
      <c r="H19" s="346"/>
      <c r="I19" s="73">
        <f>SUMIF(FP!I:I,Doklady!$B$1&amp;A19,FP!D:D)</f>
        <v>0</v>
      </c>
    </row>
    <row r="20" spans="1:20" x14ac:dyDescent="0.2">
      <c r="A20" s="135" t="s">
        <v>246</v>
      </c>
      <c r="B20" s="340" t="s">
        <v>247</v>
      </c>
      <c r="C20" s="341"/>
      <c r="D20" s="341"/>
      <c r="E20" s="341"/>
      <c r="F20" s="341"/>
      <c r="G20" s="341"/>
      <c r="H20" s="342"/>
      <c r="I20" s="73">
        <f>SUMIF(FP!I:I,Doklady!$B$1&amp;A20,FP!D:D)</f>
        <v>0</v>
      </c>
      <c r="T20" s="86"/>
    </row>
    <row r="21" spans="1:20" x14ac:dyDescent="0.2">
      <c r="A21" s="115" t="s">
        <v>248</v>
      </c>
      <c r="B21" s="340" t="s">
        <v>249</v>
      </c>
      <c r="C21" s="341"/>
      <c r="D21" s="341"/>
      <c r="E21" s="341"/>
      <c r="F21" s="341"/>
      <c r="G21" s="341"/>
      <c r="H21" s="342"/>
      <c r="I21" s="73">
        <f>SUMIF(FP!I:I,Doklady!$B$1&amp;A21,FP!D:D)</f>
        <v>0</v>
      </c>
      <c r="T21" s="86"/>
    </row>
    <row r="22" spans="1:20" x14ac:dyDescent="0.2">
      <c r="A22" s="135" t="s">
        <v>250</v>
      </c>
      <c r="B22" s="347" t="s">
        <v>251</v>
      </c>
      <c r="C22" s="348"/>
      <c r="D22" s="348"/>
      <c r="E22" s="348"/>
      <c r="F22" s="348"/>
      <c r="G22" s="348"/>
      <c r="H22" s="349"/>
      <c r="I22" s="73">
        <f>SUMIF(FP!I:I,Doklady!$B$1&amp;A22,FP!D:D)</f>
        <v>0</v>
      </c>
      <c r="T22" s="86"/>
    </row>
    <row r="23" spans="1:20" x14ac:dyDescent="0.2">
      <c r="A23" s="115" t="s">
        <v>252</v>
      </c>
      <c r="B23" s="340" t="s">
        <v>253</v>
      </c>
      <c r="C23" s="341"/>
      <c r="D23" s="341"/>
      <c r="E23" s="341"/>
      <c r="F23" s="341"/>
      <c r="G23" s="341"/>
      <c r="H23" s="342"/>
      <c r="I23" s="73">
        <f>SUMIF(FP!I:I,Doklady!$B$1&amp;A23,FP!D:D)</f>
        <v>0</v>
      </c>
      <c r="T23" s="86"/>
    </row>
    <row r="24" spans="1:20" x14ac:dyDescent="0.2">
      <c r="A24" s="135" t="s">
        <v>254</v>
      </c>
      <c r="B24" s="340" t="s">
        <v>255</v>
      </c>
      <c r="C24" s="341"/>
      <c r="D24" s="341"/>
      <c r="E24" s="341"/>
      <c r="F24" s="341"/>
      <c r="G24" s="341"/>
      <c r="H24" s="342"/>
      <c r="I24" s="73">
        <f>SUMIF(FP!I:I,Doklady!$B$1&amp;A24,FP!D:D)</f>
        <v>0</v>
      </c>
      <c r="T24" s="86"/>
    </row>
    <row r="25" spans="1:20" x14ac:dyDescent="0.2">
      <c r="A25" s="115" t="s">
        <v>256</v>
      </c>
      <c r="B25" s="363" t="s">
        <v>1469</v>
      </c>
      <c r="C25" s="364"/>
      <c r="D25" s="364"/>
      <c r="E25" s="364"/>
      <c r="F25" s="364"/>
      <c r="G25" s="364"/>
      <c r="H25" s="365"/>
      <c r="I25" s="73">
        <f>SUMIF(FP!I:I,Doklady!$B$1&amp;A25,FP!D:D)</f>
        <v>0</v>
      </c>
      <c r="T25" s="86"/>
    </row>
    <row r="26" spans="1:20" x14ac:dyDescent="0.2">
      <c r="A26" s="135" t="s">
        <v>257</v>
      </c>
      <c r="B26" s="340" t="s">
        <v>258</v>
      </c>
      <c r="C26" s="341"/>
      <c r="D26" s="341"/>
      <c r="E26" s="341"/>
      <c r="F26" s="341"/>
      <c r="G26" s="341"/>
      <c r="H26" s="342"/>
      <c r="I26" s="73">
        <f>SUMIF(FP!I:I,Doklady!$B$1&amp;A26,FP!D:D)</f>
        <v>0</v>
      </c>
      <c r="T26" s="86"/>
    </row>
    <row r="27" spans="1:20" x14ac:dyDescent="0.2">
      <c r="A27" s="115" t="s">
        <v>259</v>
      </c>
      <c r="B27" s="340" t="s">
        <v>260</v>
      </c>
      <c r="C27" s="341"/>
      <c r="D27" s="341"/>
      <c r="E27" s="341"/>
      <c r="F27" s="341"/>
      <c r="G27" s="341"/>
      <c r="H27" s="342"/>
      <c r="I27" s="73">
        <f>SUMIF(FP!I:I,Doklady!$B$1&amp;A27,FP!D:D)</f>
        <v>0</v>
      </c>
      <c r="T27" s="86"/>
    </row>
    <row r="28" spans="1:20" x14ac:dyDescent="0.2">
      <c r="A28" s="135" t="s">
        <v>261</v>
      </c>
      <c r="B28" s="340" t="s">
        <v>1482</v>
      </c>
      <c r="C28" s="341"/>
      <c r="D28" s="341"/>
      <c r="E28" s="341"/>
      <c r="F28" s="341"/>
      <c r="G28" s="341"/>
      <c r="H28" s="342"/>
      <c r="I28" s="73">
        <f>SUMIF(FP!I:I,Doklady!$B$1&amp;A28,FP!D:D)</f>
        <v>0</v>
      </c>
      <c r="T28" s="86"/>
    </row>
    <row r="29" spans="1:20" x14ac:dyDescent="0.2">
      <c r="A29" s="115" t="s">
        <v>263</v>
      </c>
      <c r="B29" s="340" t="s">
        <v>264</v>
      </c>
      <c r="C29" s="341"/>
      <c r="D29" s="341"/>
      <c r="E29" s="341"/>
      <c r="F29" s="341"/>
      <c r="G29" s="341"/>
      <c r="H29" s="342"/>
      <c r="I29" s="73">
        <f>SUMIF(FP!I:I,Doklady!$B$1&amp;A29,FP!D:D)</f>
        <v>0</v>
      </c>
      <c r="T29" s="86"/>
    </row>
    <row r="30" spans="1:20" hidden="1" x14ac:dyDescent="0.2">
      <c r="A30" s="135" t="s">
        <v>265</v>
      </c>
      <c r="B30" s="340"/>
      <c r="C30" s="341"/>
      <c r="D30" s="341"/>
      <c r="E30" s="341"/>
      <c r="F30" s="341"/>
      <c r="G30" s="341"/>
      <c r="H30" s="342"/>
      <c r="I30" s="73">
        <f>SUMIF(FP!I:I,Doklady!$B$1&amp;A30,FP!D:D)</f>
        <v>0</v>
      </c>
      <c r="T30" s="86"/>
    </row>
    <row r="31" spans="1:20" hidden="1" x14ac:dyDescent="0.2">
      <c r="A31" s="115" t="s">
        <v>266</v>
      </c>
      <c r="B31" s="340"/>
      <c r="C31" s="341"/>
      <c r="D31" s="341"/>
      <c r="E31" s="341"/>
      <c r="F31" s="341"/>
      <c r="G31" s="341"/>
      <c r="H31" s="342"/>
      <c r="I31" s="73">
        <f>SUMIF(FP!I:I,Doklady!$B$1&amp;A31,FP!D:D)</f>
        <v>0</v>
      </c>
      <c r="T31" s="86"/>
    </row>
    <row r="32" spans="1:20" hidden="1" x14ac:dyDescent="0.2">
      <c r="A32" s="135" t="s">
        <v>267</v>
      </c>
      <c r="B32" s="336"/>
      <c r="C32" s="337"/>
      <c r="D32" s="337"/>
      <c r="E32" s="337"/>
      <c r="F32" s="337"/>
      <c r="G32" s="337"/>
      <c r="H32" s="338"/>
      <c r="I32" s="73">
        <f>SUMIF(FP!I:I,Doklady!$B$1&amp;A32,FP!D:D)</f>
        <v>0</v>
      </c>
      <c r="T32" s="86"/>
    </row>
    <row r="33" spans="1:21" hidden="1" x14ac:dyDescent="0.2">
      <c r="A33" s="115" t="s">
        <v>268</v>
      </c>
      <c r="B33" s="336"/>
      <c r="C33" s="337"/>
      <c r="D33" s="337"/>
      <c r="E33" s="337"/>
      <c r="F33" s="337"/>
      <c r="G33" s="337"/>
      <c r="H33" s="338"/>
      <c r="I33" s="73">
        <f>SUMIF(FP!I:I,Doklady!$B$1&amp;A33,FP!D:D)</f>
        <v>0</v>
      </c>
      <c r="T33" s="86"/>
    </row>
    <row r="34" spans="1:21" hidden="1" x14ac:dyDescent="0.2">
      <c r="A34" s="135" t="s">
        <v>269</v>
      </c>
      <c r="B34" s="339"/>
      <c r="C34" s="339"/>
      <c r="D34" s="339"/>
      <c r="E34" s="339"/>
      <c r="F34" s="339"/>
      <c r="G34" s="339"/>
      <c r="H34" s="339"/>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moderný päťboj</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20829.400000000001</v>
      </c>
      <c r="D39" s="78">
        <f>I39*0.2</f>
        <v>20829.400000000001</v>
      </c>
      <c r="E39" s="78">
        <f>I39*0.25</f>
        <v>26036.75</v>
      </c>
      <c r="F39" s="78">
        <f>+I39*0.15</f>
        <v>15622.05</v>
      </c>
      <c r="G39" s="78">
        <f>+MAX(I39-C39-D39-E39-F39-H39,0)</f>
        <v>20829.400000000005</v>
      </c>
      <c r="H39" s="78">
        <f>+IFERROR(VLOOKUP(K40&amp;" - kapitálové transfery",B$53:C$90,2,0),0)</f>
        <v>0</v>
      </c>
      <c r="I39" s="73">
        <f>SUMIF(FP!K:K,K40,FP!D:D)</f>
        <v>104147</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3719.56</v>
      </c>
      <c r="F40" s="78">
        <f>DSUM(Doklady!A103:J10000,"GGG",Spolu!R40:S42)</f>
        <v>1437.6</v>
      </c>
      <c r="G40" s="78">
        <f>DSUM(Doklady!A103:J10000,"GGG",Spolu!T40:U42)-H40</f>
        <v>0</v>
      </c>
      <c r="H40" s="78">
        <f>+IFERROR(VLOOKUP(K40&amp;" - kapitálové transfery",B$53:D$90,3,0),0)</f>
        <v>0</v>
      </c>
      <c r="I40" s="73">
        <f>+C40+D40+E40+F40+G40+H40</f>
        <v>5157.16</v>
      </c>
      <c r="J40" s="210" t="str">
        <f>+K45</f>
        <v>.</v>
      </c>
      <c r="K40" s="210" t="str">
        <f>IF(L38&gt;0,INDEX(FP!K:K,Doklady!B2),".")</f>
        <v>moderný päťboj</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20829.400000000001</v>
      </c>
      <c r="D41" s="78">
        <f>MAX(D39-D40,0)</f>
        <v>20829.400000000001</v>
      </c>
      <c r="E41" s="78">
        <f>MAX(E39-E40,0)</f>
        <v>22317.19</v>
      </c>
      <c r="F41" s="78">
        <f>MIN(I39,MAX(-F39+F40,0))</f>
        <v>0</v>
      </c>
      <c r="G41" s="78">
        <f>MIN(J39,MAX(-G39+G40+MIN(F40-F39,0),0))</f>
        <v>0</v>
      </c>
      <c r="H41" s="78">
        <f>MAX(H39-H40,0)</f>
        <v>0</v>
      </c>
      <c r="I41" s="124">
        <f>+I39-I42</f>
        <v>98989.84</v>
      </c>
      <c r="J41" s="211">
        <f>+K46</f>
        <v>0</v>
      </c>
      <c r="K41" s="211">
        <f>+I41-H41</f>
        <v>98989.84</v>
      </c>
      <c r="L41" s="153" t="str">
        <f>IF(L38&gt;0,"a - "&amp;INDEX(FP!C:C,Doklady!B2),2)</f>
        <v>a - moderný päťboj - bežné transfery</v>
      </c>
      <c r="M41" s="120">
        <v>1</v>
      </c>
      <c r="N41" s="153" t="str">
        <f>+L41</f>
        <v>a - moderný päťboj - bežné transfery</v>
      </c>
      <c r="O41" s="120">
        <v>2</v>
      </c>
      <c r="P41" s="153" t="str">
        <f>+L41</f>
        <v>a - moderný päťboj - bežné transfery</v>
      </c>
      <c r="Q41" s="120">
        <v>3</v>
      </c>
      <c r="R41" s="153" t="str">
        <f>+L41</f>
        <v>a - moderný päťboj - bežné transfery</v>
      </c>
      <c r="S41" s="120">
        <v>4</v>
      </c>
      <c r="T41" s="153" t="str">
        <f>+L41</f>
        <v>a - moderný päťboj - bežné transfery</v>
      </c>
      <c r="U41" s="120">
        <v>5</v>
      </c>
    </row>
    <row r="42" spans="1:21" ht="10.5" customHeight="1" x14ac:dyDescent="0.2">
      <c r="A42" s="115" t="s">
        <v>240</v>
      </c>
      <c r="B42" s="116" t="s">
        <v>277</v>
      </c>
      <c r="C42" s="73">
        <f>+C40</f>
        <v>0</v>
      </c>
      <c r="D42" s="208">
        <f>+D40</f>
        <v>0</v>
      </c>
      <c r="E42" s="208">
        <f>+E40</f>
        <v>3719.56</v>
      </c>
      <c r="F42" s="208">
        <f>+MIN(F39:F40)</f>
        <v>1437.6</v>
      </c>
      <c r="G42" s="208">
        <f>+MIN(G39+MAX(F39-F40,0)-MAX(E40-E39,0)-MAX(D40-D39,0)-MAX(C40-C39,0),G40)</f>
        <v>0</v>
      </c>
      <c r="H42" s="208">
        <f>+MIN(H39:H40)</f>
        <v>0</v>
      </c>
      <c r="I42" s="73">
        <f>+C42+D42+E42+MIN(F39:F40)+G42+H42</f>
        <v>5157.16</v>
      </c>
      <c r="J42" s="211">
        <f>+K47</f>
        <v>0</v>
      </c>
      <c r="K42" s="211">
        <f>+I42-H42</f>
        <v>5157.16</v>
      </c>
      <c r="L42" s="153" t="str">
        <f>+SUBSTITUTE(L41,"bežné","kapitálové")</f>
        <v>a - moderný päťboj - kapitálové transfery</v>
      </c>
      <c r="M42" s="120">
        <v>1</v>
      </c>
      <c r="N42" s="153" t="str">
        <f>+L42</f>
        <v>a - moderný päťboj - kapitálové transfery</v>
      </c>
      <c r="O42" s="120">
        <v>2</v>
      </c>
      <c r="P42" s="153" t="str">
        <f>+L42</f>
        <v>a - moderný päťboj - kapitálové transfery</v>
      </c>
      <c r="Q42" s="120">
        <v>3</v>
      </c>
      <c r="R42" s="153" t="str">
        <f>+L42</f>
        <v>a - moderný päťboj - kapitálové transfery</v>
      </c>
      <c r="S42" s="120">
        <v>4</v>
      </c>
      <c r="T42" s="153" t="str">
        <f>+L42</f>
        <v>a - moderný päťboj - kapitálové transfery</v>
      </c>
      <c r="U42" s="120">
        <v>5</v>
      </c>
    </row>
    <row r="43" spans="1:21" ht="20.399999999999999"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moderný päťboj - bežné transfery</v>
      </c>
      <c r="C53" s="73">
        <f>IF(A53&lt;&gt;"",INDEX(FP!D:D,Doklady!B$2+(ROW()-53)),"")</f>
        <v>104147</v>
      </c>
      <c r="D53" s="73">
        <f>IF(A53&lt;&gt;"",Doklady!I1-Doklady!J1,"")</f>
        <v>5157.1600000000008</v>
      </c>
      <c r="E53" s="73">
        <f>IF(A53&lt;&gt;"",MIN(D53,C53)*Doklady!C1/(1-Doklady!C1),"")</f>
        <v>0</v>
      </c>
      <c r="F53" s="71">
        <f>IF(A53&lt;&gt;"",Doklady!J1,"")</f>
        <v>0</v>
      </c>
      <c r="G53" s="73">
        <f>+IFERROR(HLOOKUP(IF(RIGHT(B53,15)="bežné transfery",LEFT(B53,LEN(B53)-18),0),$J$40:$K$42,3,0),MIN(C53,D53))</f>
        <v>5157.16</v>
      </c>
      <c r="H53" s="71"/>
      <c r="I53" s="73">
        <f>IF(A53&lt;&gt;"",MAX(IF(G53&lt;C53,C53-G53,0)+IF(F53&lt;E53,E53-F53,0),0),0)</f>
        <v>98989.84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104147</v>
      </c>
      <c r="D130" s="220">
        <f t="shared" ref="D130:I130" si="9">SUM(D53:D129)</f>
        <v>5157.1600000000008</v>
      </c>
      <c r="E130" s="220">
        <f t="shared" si="9"/>
        <v>0</v>
      </c>
      <c r="F130" s="220">
        <f t="shared" si="9"/>
        <v>0</v>
      </c>
      <c r="G130" s="220">
        <f t="shared" si="9"/>
        <v>5157.16</v>
      </c>
      <c r="H130" s="220">
        <f t="shared" si="9"/>
        <v>0</v>
      </c>
      <c r="I130" s="220">
        <f t="shared" si="9"/>
        <v>98989.84</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66"/>
      <c r="E140" s="366"/>
      <c r="F140" s="366"/>
      <c r="G140" s="366"/>
      <c r="H140" s="366"/>
      <c r="I140" s="366"/>
      <c r="J140" s="85"/>
    </row>
    <row r="141" spans="1:26" ht="68.25" customHeight="1" x14ac:dyDescent="0.25">
      <c r="A141" s="9"/>
      <c r="B141" s="273" t="s">
        <v>293</v>
      </c>
      <c r="C141" s="206"/>
      <c r="D141" s="350" t="s">
        <v>294</v>
      </c>
      <c r="E141" s="350"/>
      <c r="F141" s="350"/>
      <c r="G141" s="350"/>
      <c r="H141" s="350"/>
      <c r="I141" s="350"/>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11" sqref="B1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moderný päťboj - bežné transfery</v>
      </c>
      <c r="B1" s="224" t="str">
        <f>INDEX(Adr!A:A,B102+1)</f>
        <v>30788714</v>
      </c>
      <c r="C1" s="225">
        <f>IF(ROW()&lt;=B$3,INDEX(FP!E:E,B$2+ROW()-1),"")</f>
        <v>0</v>
      </c>
      <c r="D1" s="226" t="str">
        <f>IF(ROW()&lt;=B$3,INDEX(FP!F:F,B$2+ROW()-1),"")</f>
        <v>a</v>
      </c>
      <c r="E1" s="226"/>
      <c r="F1" s="226" t="str">
        <f>IF(ROW()&lt;=B$3,INDEX(FP!G:G,B$2+ROW()-1),"")</f>
        <v>026 02</v>
      </c>
      <c r="G1" s="226"/>
      <c r="H1" s="227" t="str">
        <f>IF(ROW()&lt;=B$3,INDEX(FP!C:C,B$2+ROW()-1),"")</f>
        <v>moderný päťboj - bežné transfery</v>
      </c>
      <c r="I1" s="228">
        <f t="shared" ref="I1:I6" si="0">IF(ROW()&lt;=B$3,SUMIF(A$107:A$10042,A1,I$107:I$10042),"")</f>
        <v>5157.1600000000008</v>
      </c>
      <c r="J1" s="228">
        <f t="shared" ref="J1:J32" si="1">IF(ROW()&lt;=B$3,SUMIFS(I$103:I$50042,A$103:A$50042,K1,J$103:J$50042,L1),"")</f>
        <v>0</v>
      </c>
      <c r="K1" s="110" t="str">
        <f>$A1</f>
        <v>a - moderný päťboj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
      </c>
      <c r="B2" s="229">
        <f>MATCH(B1,FP!A:A,0)</f>
        <v>275</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8"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8"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8"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67" t="s">
        <v>1486</v>
      </c>
      <c r="B100" s="367"/>
      <c r="C100" s="367"/>
      <c r="D100" s="367"/>
      <c r="E100" s="367"/>
      <c r="F100" s="367"/>
      <c r="G100" s="367"/>
      <c r="H100" s="367"/>
      <c r="I100" s="369" t="s">
        <v>1487</v>
      </c>
      <c r="J100" s="369"/>
      <c r="K100" s="89"/>
    </row>
    <row r="101" spans="1:25" ht="15.6" x14ac:dyDescent="0.3">
      <c r="A101" s="367"/>
      <c r="B101" s="367"/>
      <c r="C101" s="367"/>
      <c r="D101" s="367"/>
      <c r="E101" s="367"/>
      <c r="F101" s="367"/>
      <c r="G101" s="367"/>
      <c r="H101" s="367"/>
      <c r="I101" s="368">
        <v>46053</v>
      </c>
      <c r="J101" s="368"/>
    </row>
    <row r="102" spans="1:25" ht="13.8" x14ac:dyDescent="0.25">
      <c r="A102" s="241" t="s">
        <v>299</v>
      </c>
      <c r="B102" s="242">
        <v>83</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1" x14ac:dyDescent="0.25">
      <c r="A107" s="14" t="s">
        <v>1854</v>
      </c>
      <c r="B107" s="14" t="s">
        <v>1855</v>
      </c>
      <c r="C107" s="14" t="s">
        <v>1856</v>
      </c>
      <c r="D107" s="16">
        <v>46053</v>
      </c>
      <c r="E107" s="16"/>
      <c r="F107" s="14" t="s">
        <v>1857</v>
      </c>
      <c r="G107" s="14" t="s">
        <v>786</v>
      </c>
      <c r="H107" s="14" t="s">
        <v>1858</v>
      </c>
      <c r="I107" s="15">
        <v>1861.71</v>
      </c>
      <c r="J107" s="77">
        <v>3</v>
      </c>
      <c r="K107" s="92"/>
    </row>
    <row r="108" spans="1:25" ht="51" x14ac:dyDescent="0.25">
      <c r="A108" s="14" t="s">
        <v>1854</v>
      </c>
      <c r="B108" s="14" t="s">
        <v>1855</v>
      </c>
      <c r="C108" s="14" t="s">
        <v>1856</v>
      </c>
      <c r="D108" s="16">
        <v>46053</v>
      </c>
      <c r="E108" s="16"/>
      <c r="F108" s="14" t="s">
        <v>1857</v>
      </c>
      <c r="G108" s="14" t="s">
        <v>786</v>
      </c>
      <c r="H108" s="14" t="s">
        <v>1859</v>
      </c>
      <c r="I108" s="15">
        <v>718.8</v>
      </c>
      <c r="J108" s="77">
        <v>4</v>
      </c>
      <c r="K108" s="92"/>
    </row>
    <row r="109" spans="1:25" ht="51" x14ac:dyDescent="0.25">
      <c r="A109" s="14" t="s">
        <v>1854</v>
      </c>
      <c r="B109" s="14" t="s">
        <v>1860</v>
      </c>
      <c r="C109" s="14" t="s">
        <v>1861</v>
      </c>
      <c r="D109" s="16">
        <v>46081</v>
      </c>
      <c r="E109" s="16"/>
      <c r="F109" s="14" t="s">
        <v>1862</v>
      </c>
      <c r="G109" s="14" t="s">
        <v>786</v>
      </c>
      <c r="H109" s="14" t="s">
        <v>1858</v>
      </c>
      <c r="I109" s="15">
        <v>1857.85</v>
      </c>
      <c r="J109" s="77">
        <v>3</v>
      </c>
      <c r="K109" s="92"/>
    </row>
    <row r="110" spans="1:25" ht="51" x14ac:dyDescent="0.25">
      <c r="A110" s="14" t="s">
        <v>1854</v>
      </c>
      <c r="B110" s="14" t="s">
        <v>1860</v>
      </c>
      <c r="C110" s="14" t="s">
        <v>1861</v>
      </c>
      <c r="D110" s="16">
        <v>46081</v>
      </c>
      <c r="E110" s="16"/>
      <c r="F110" s="14" t="s">
        <v>1862</v>
      </c>
      <c r="G110" s="14" t="s">
        <v>786</v>
      </c>
      <c r="H110" s="14" t="s">
        <v>1859</v>
      </c>
      <c r="I110" s="15">
        <v>718.8</v>
      </c>
      <c r="J110" s="77">
        <v>4</v>
      </c>
      <c r="K110" s="92"/>
    </row>
    <row r="111" spans="1:25" ht="13.2" x14ac:dyDescent="0.25">
      <c r="A111" s="14" t="s">
        <v>1854</v>
      </c>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399999999999999"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2"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2"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2"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2"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2"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2"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2"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2"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2"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2"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3.2"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2"/>
      <c r="H128" s="312"/>
      <c r="I128" s="191"/>
      <c r="J128" s="191"/>
      <c r="K128" s="191"/>
      <c r="L128" s="193"/>
      <c r="M128" s="191"/>
      <c r="N128" s="191"/>
      <c r="O128" s="191"/>
      <c r="P128" s="191"/>
    </row>
    <row r="129" spans="1:16" ht="13.2"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3.2"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4"/>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ht="13.2"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4"/>
      <c r="H226" s="277"/>
      <c r="I226" s="277"/>
      <c r="J226" s="277"/>
      <c r="K226" s="277"/>
      <c r="L226" s="278"/>
      <c r="M226" s="277"/>
      <c r="N226" s="277"/>
      <c r="O226" s="277"/>
      <c r="P226" s="277"/>
    </row>
    <row r="227" spans="1:16" ht="13.2"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0.399999999999999"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4" t="str">
        <f>Spolu!C3&amp;", "&amp;Spolu!C6</f>
        <v>Slovenský zväz moderného päťboja,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0"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30788714</v>
      </c>
      <c r="E18" s="147" t="s">
        <v>1161</v>
      </c>
      <c r="F18" s="274">
        <v>421947749446</v>
      </c>
      <c r="N18" s="137" t="str">
        <f t="shared" si="0"/>
        <v xml:space="preserve">r - </v>
      </c>
      <c r="O18" s="137" t="s">
        <v>269</v>
      </c>
    </row>
    <row r="19" spans="1:16" x14ac:dyDescent="0.25">
      <c r="E19" s="147" t="s">
        <v>1162</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cp:lastPrinted>2026-01-22T08:18:11Z</cp:lastPrinted>
  <dcterms:created xsi:type="dcterms:W3CDTF">2017-02-20T06:20:12Z</dcterms:created>
  <dcterms:modified xsi:type="dcterms:W3CDTF">2026-04-08T12:39:21Z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